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T 7\Kimia Industri\Evaluasi Ekonomi\"/>
    </mc:Choice>
  </mc:AlternateContent>
  <bookViews>
    <workbookView xWindow="0" yWindow="0" windowWidth="20490" windowHeight="7650" firstSheet="8" activeTab="10"/>
  </bookViews>
  <sheets>
    <sheet name="Analisis Produksi" sheetId="2" r:id="rId1"/>
    <sheet name="Analisis Produk dan Harga" sheetId="1" r:id="rId2"/>
    <sheet name="link marketplace" sheetId="3" r:id="rId3"/>
    <sheet name="Peralatan, RM dan Utilitas" sheetId="4" r:id="rId4"/>
    <sheet name="TIC" sheetId="5" r:id="rId5"/>
    <sheet name="MC, GPM, ROI" sheetId="6" r:id="rId6"/>
    <sheet name="PI, BEP, BEC" sheetId="7" r:id="rId7"/>
    <sheet name="CNPV, PVP, IRR" sheetId="8" r:id="rId8"/>
    <sheet name="Variasi GPM(pack) RMS" sheetId="9" r:id="rId9"/>
    <sheet name="Variasi Nilai PI" sheetId="11" r:id="rId10"/>
    <sheet name="Variasi Pajak" sheetId="12" r:id="rId11"/>
    <sheet name="Variasi Variabel Cost" sheetId="13" r:id="rId12"/>
  </sheets>
  <definedNames>
    <definedName name="_xlchart.0" hidden="1">'Variasi GPM(pack) RMS'!$B$15:$B$23</definedName>
    <definedName name="_xlchart.1" hidden="1">'Variasi GPM(pack) RMS'!$C$15:$C$23</definedName>
    <definedName name="_xlchart.2" hidden="1">'Variasi GPM(pack) RMS'!$E$13</definedName>
    <definedName name="_xlchart.3" hidden="1">'Variasi GPM(pack) RMS'!$E$15:$E$23</definedName>
    <definedName name="_xlchart.4" hidden="1">'Variasi GPM(pack) RMS'!$F$15:$F$23</definedName>
    <definedName name="_xlchart.5" hidden="1">'Variasi GPM(pack) RMS'!$H$13</definedName>
    <definedName name="_xlchart.6" hidden="1">'Variasi GPM(pack) RMS'!$H$15:$H$23</definedName>
    <definedName name="_xlchart.7" hidden="1">'Variasi GPM(pack) RMS'!$I$15:$I$23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5" l="1"/>
  <c r="O9" i="6" l="1"/>
  <c r="C54" i="1"/>
  <c r="C53" i="1"/>
  <c r="C52" i="1"/>
  <c r="C47" i="1"/>
  <c r="C46" i="1"/>
  <c r="C45" i="1"/>
  <c r="F25" i="1"/>
  <c r="C13" i="13" l="1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C12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C11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B11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B13" i="13"/>
  <c r="B10" i="13"/>
  <c r="B12" i="13"/>
  <c r="C9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B9" i="13"/>
  <c r="B7" i="12" l="1"/>
  <c r="B6" i="12"/>
  <c r="B5" i="12"/>
  <c r="B4" i="12"/>
  <c r="U19" i="8"/>
  <c r="V19" i="8"/>
  <c r="B3" i="12"/>
  <c r="B6" i="11" l="1"/>
  <c r="B7" i="11"/>
  <c r="F19" i="8" l="1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D19" i="8"/>
  <c r="E19" i="8"/>
  <c r="C19" i="8"/>
  <c r="F11" i="6" l="1"/>
  <c r="E6" i="6"/>
  <c r="N7" i="6"/>
  <c r="O7" i="6" s="1"/>
  <c r="M7" i="6"/>
  <c r="M9" i="6" s="1"/>
  <c r="M4" i="6"/>
  <c r="N4" i="6"/>
  <c r="O4" i="6" s="1"/>
  <c r="L5" i="6"/>
  <c r="M5" i="6" s="1"/>
  <c r="F8" i="6" s="1"/>
  <c r="F12" i="6" s="1"/>
  <c r="L9" i="6"/>
  <c r="L21" i="6" s="1"/>
  <c r="N9" i="6"/>
  <c r="N21" i="6" s="1"/>
  <c r="H6" i="6"/>
  <c r="F9" i="7" s="1"/>
  <c r="G6" i="6"/>
  <c r="F6" i="6"/>
  <c r="G35" i="4"/>
  <c r="G36" i="4" s="1"/>
  <c r="F35" i="4"/>
  <c r="H35" i="4" s="1"/>
  <c r="H36" i="4" s="1"/>
  <c r="H28" i="4"/>
  <c r="K28" i="4" s="1"/>
  <c r="K29" i="4" s="1"/>
  <c r="H27" i="4"/>
  <c r="K27" i="4" s="1"/>
  <c r="K35" i="4" l="1"/>
  <c r="K36" i="4" s="1"/>
  <c r="I35" i="4"/>
  <c r="I36" i="4" s="1"/>
  <c r="M35" i="4"/>
  <c r="M36" i="4" s="1"/>
  <c r="F36" i="4"/>
  <c r="J35" i="4"/>
  <c r="J36" i="4" s="1"/>
  <c r="L35" i="4"/>
  <c r="L36" i="4" s="1"/>
  <c r="H29" i="4"/>
  <c r="F24" i="6"/>
  <c r="F21" i="6"/>
  <c r="F10" i="6"/>
  <c r="G23" i="6"/>
  <c r="G25" i="6"/>
  <c r="E25" i="6"/>
  <c r="E23" i="6"/>
  <c r="F25" i="6"/>
  <c r="F23" i="6"/>
  <c r="M21" i="6"/>
  <c r="E8" i="6"/>
  <c r="E21" i="6"/>
  <c r="G21" i="6"/>
  <c r="E22" i="6"/>
  <c r="E24" i="6"/>
  <c r="F22" i="6"/>
  <c r="G22" i="6"/>
  <c r="G24" i="6"/>
  <c r="N5" i="6"/>
  <c r="J27" i="4"/>
  <c r="J29" i="4" s="1"/>
  <c r="J28" i="4"/>
  <c r="I27" i="4"/>
  <c r="I29" i="4" s="1"/>
  <c r="I28" i="4"/>
  <c r="N14" i="6" l="1"/>
  <c r="F14" i="7" s="1"/>
  <c r="H24" i="6"/>
  <c r="H22" i="6"/>
  <c r="O21" i="6"/>
  <c r="H23" i="6"/>
  <c r="H25" i="6"/>
  <c r="H21" i="6"/>
  <c r="E12" i="6"/>
  <c r="E11" i="6"/>
  <c r="E10" i="6"/>
  <c r="O5" i="6"/>
  <c r="H8" i="6" s="1"/>
  <c r="F10" i="7" s="1"/>
  <c r="G8" i="6"/>
  <c r="U11" i="8" l="1"/>
  <c r="V11" i="8"/>
  <c r="G11" i="8"/>
  <c r="I11" i="8"/>
  <c r="K11" i="8"/>
  <c r="M11" i="8"/>
  <c r="O11" i="8"/>
  <c r="Q11" i="8"/>
  <c r="S11" i="8"/>
  <c r="E11" i="8"/>
  <c r="F11" i="8"/>
  <c r="H11" i="8"/>
  <c r="J11" i="8"/>
  <c r="L11" i="8"/>
  <c r="N11" i="8"/>
  <c r="P11" i="8"/>
  <c r="R11" i="8"/>
  <c r="T11" i="8"/>
  <c r="F12" i="7"/>
  <c r="F24" i="7"/>
  <c r="H12" i="6"/>
  <c r="H11" i="6"/>
  <c r="H10" i="6"/>
  <c r="F11" i="7" s="1"/>
  <c r="G12" i="6"/>
  <c r="G11" i="6"/>
  <c r="G10" i="6"/>
  <c r="G18" i="4" l="1"/>
  <c r="G19" i="4"/>
  <c r="M19" i="4" s="1"/>
  <c r="G17" i="4"/>
  <c r="M17" i="4" s="1"/>
  <c r="F18" i="4"/>
  <c r="F19" i="4"/>
  <c r="L19" i="4" s="1"/>
  <c r="C5" i="9" s="1"/>
  <c r="F17" i="4"/>
  <c r="L17" i="4" s="1"/>
  <c r="C3" i="9" s="1"/>
  <c r="F6" i="4"/>
  <c r="F7" i="4"/>
  <c r="F8" i="4"/>
  <c r="F9" i="4"/>
  <c r="F10" i="4"/>
  <c r="F5" i="4"/>
  <c r="G10" i="4"/>
  <c r="G9" i="4"/>
  <c r="G8" i="4"/>
  <c r="G7" i="4"/>
  <c r="G6" i="4"/>
  <c r="G5" i="4"/>
  <c r="F26" i="1"/>
  <c r="F54" i="1"/>
  <c r="F47" i="1"/>
  <c r="D46" i="1"/>
  <c r="F53" i="1"/>
  <c r="F52" i="1"/>
  <c r="E47" i="1"/>
  <c r="E46" i="1"/>
  <c r="F46" i="1"/>
  <c r="D47" i="1"/>
  <c r="F45" i="1"/>
  <c r="E45" i="1"/>
  <c r="D45" i="1"/>
  <c r="D41" i="1"/>
  <c r="F41" i="1"/>
  <c r="F20" i="7" s="1"/>
  <c r="F25" i="7" s="1"/>
  <c r="E41" i="1"/>
  <c r="F37" i="1"/>
  <c r="E37" i="1"/>
  <c r="D37" i="1"/>
  <c r="K17" i="4" l="1"/>
  <c r="H19" i="4"/>
  <c r="J19" i="4"/>
  <c r="I19" i="4"/>
  <c r="I17" i="4"/>
  <c r="K19" i="4"/>
  <c r="H17" i="4"/>
  <c r="J17" i="4"/>
  <c r="G20" i="4"/>
  <c r="G21" i="4" s="1"/>
  <c r="F20" i="4"/>
  <c r="L22" i="6" s="1"/>
  <c r="L18" i="4"/>
  <c r="C4" i="9" s="1"/>
  <c r="F11" i="4"/>
  <c r="C4" i="5" s="1"/>
  <c r="H18" i="4"/>
  <c r="L20" i="4"/>
  <c r="O22" i="6" s="1"/>
  <c r="J18" i="4"/>
  <c r="I18" i="4"/>
  <c r="K18" i="4"/>
  <c r="K20" i="4" s="1"/>
  <c r="K21" i="4" s="1"/>
  <c r="M18" i="4"/>
  <c r="M20" i="4" s="1"/>
  <c r="M21" i="4" s="1"/>
  <c r="G11" i="4"/>
  <c r="E52" i="1"/>
  <c r="E54" i="1"/>
  <c r="E53" i="1"/>
  <c r="D52" i="1"/>
  <c r="D53" i="1"/>
  <c r="D54" i="1"/>
  <c r="C27" i="5" l="1"/>
  <c r="D8" i="8" s="1"/>
  <c r="G27" i="5"/>
  <c r="G25" i="5"/>
  <c r="G19" i="5"/>
  <c r="G15" i="5"/>
  <c r="G13" i="5"/>
  <c r="G11" i="5"/>
  <c r="G9" i="5"/>
  <c r="G7" i="5"/>
  <c r="G5" i="5"/>
  <c r="G26" i="5"/>
  <c r="G20" i="5"/>
  <c r="G18" i="5"/>
  <c r="G14" i="5"/>
  <c r="G12" i="5"/>
  <c r="G10" i="5"/>
  <c r="G8" i="5"/>
  <c r="G6" i="5"/>
  <c r="E5" i="6"/>
  <c r="J20" i="4"/>
  <c r="N22" i="6" s="1"/>
  <c r="H20" i="4"/>
  <c r="M22" i="6" s="1"/>
  <c r="C6" i="9"/>
  <c r="I20" i="4"/>
  <c r="I21" i="4" s="1"/>
  <c r="C5" i="5"/>
  <c r="C13" i="5"/>
  <c r="C10" i="5"/>
  <c r="C11" i="5"/>
  <c r="C12" i="5"/>
  <c r="C14" i="5"/>
  <c r="C19" i="5"/>
  <c r="C25" i="5"/>
  <c r="C7" i="5"/>
  <c r="C20" i="5"/>
  <c r="C18" i="5"/>
  <c r="C8" i="5"/>
  <c r="C26" i="5"/>
  <c r="C6" i="5"/>
  <c r="C15" i="5"/>
  <c r="C7" i="8" s="1"/>
  <c r="C9" i="5"/>
  <c r="F21" i="4"/>
  <c r="L23" i="6" s="1"/>
  <c r="L24" i="6" s="1"/>
  <c r="L21" i="4"/>
  <c r="O23" i="6" s="1"/>
  <c r="O24" i="6" s="1"/>
  <c r="H5" i="6"/>
  <c r="G5" i="6"/>
  <c r="F5" i="6"/>
  <c r="I25" i="1"/>
  <c r="H25" i="1"/>
  <c r="G25" i="1"/>
  <c r="G28" i="5" l="1"/>
  <c r="C21" i="5"/>
  <c r="C22" i="5" s="1"/>
  <c r="G16" i="5"/>
  <c r="G21" i="5"/>
  <c r="G23" i="5" s="1"/>
  <c r="G29" i="5" s="1"/>
  <c r="G30" i="5" s="1"/>
  <c r="H21" i="4"/>
  <c r="M23" i="6" s="1"/>
  <c r="M24" i="6" s="1"/>
  <c r="H4" i="9"/>
  <c r="H8" i="9"/>
  <c r="H3" i="9"/>
  <c r="H7" i="9"/>
  <c r="H11" i="9"/>
  <c r="F5" i="9"/>
  <c r="F9" i="9"/>
  <c r="F4" i="9"/>
  <c r="F8" i="9"/>
  <c r="H6" i="9"/>
  <c r="H10" i="9"/>
  <c r="H5" i="9"/>
  <c r="H9" i="9"/>
  <c r="F3" i="9"/>
  <c r="F7" i="9"/>
  <c r="F11" i="9"/>
  <c r="F6" i="9"/>
  <c r="F10" i="9"/>
  <c r="G10" i="9"/>
  <c r="G6" i="9"/>
  <c r="G11" i="9"/>
  <c r="G7" i="9"/>
  <c r="J21" i="4"/>
  <c r="N23" i="6" s="1"/>
  <c r="N24" i="6" s="1"/>
  <c r="G3" i="9"/>
  <c r="G8" i="9"/>
  <c r="G4" i="9"/>
  <c r="G9" i="9"/>
  <c r="G5" i="9"/>
  <c r="C23" i="5"/>
  <c r="C16" i="5"/>
  <c r="C28" i="5"/>
  <c r="C29" i="5" s="1"/>
  <c r="F8" i="7"/>
  <c r="F13" i="7" s="1"/>
  <c r="F27" i="1"/>
  <c r="H19" i="1"/>
  <c r="K19" i="1" s="1"/>
  <c r="H18" i="1"/>
  <c r="F10" i="1"/>
  <c r="F9" i="1"/>
  <c r="F8" i="1"/>
  <c r="F6" i="1"/>
  <c r="F7" i="1"/>
  <c r="B24" i="2"/>
  <c r="B19" i="2"/>
  <c r="D14" i="2"/>
  <c r="F5" i="1"/>
  <c r="G22" i="5" l="1"/>
  <c r="U9" i="8"/>
  <c r="V9" i="8"/>
  <c r="B24" i="8"/>
  <c r="C30" i="5"/>
  <c r="D6" i="8" s="1"/>
  <c r="D17" i="8" s="1"/>
  <c r="F16" i="7"/>
  <c r="C6" i="8"/>
  <c r="C17" i="8" s="1"/>
  <c r="T9" i="8"/>
  <c r="P9" i="8"/>
  <c r="L9" i="8"/>
  <c r="H9" i="8"/>
  <c r="Q9" i="8"/>
  <c r="M9" i="8"/>
  <c r="I9" i="8"/>
  <c r="E9" i="8"/>
  <c r="R9" i="8"/>
  <c r="N9" i="8"/>
  <c r="J9" i="8"/>
  <c r="F9" i="8"/>
  <c r="S9" i="8"/>
  <c r="O9" i="8"/>
  <c r="K9" i="8"/>
  <c r="G9" i="8"/>
  <c r="F22" i="7"/>
  <c r="I27" i="1"/>
  <c r="G27" i="1"/>
  <c r="H27" i="1"/>
  <c r="F29" i="1"/>
  <c r="H26" i="1"/>
  <c r="H31" i="1" s="1"/>
  <c r="I26" i="1"/>
  <c r="I32" i="1" s="1"/>
  <c r="G26" i="1"/>
  <c r="F13" i="1"/>
  <c r="H20" i="1"/>
  <c r="I18" i="1"/>
  <c r="J18" i="1"/>
  <c r="K18" i="1"/>
  <c r="K20" i="1" s="1"/>
  <c r="I19" i="1"/>
  <c r="J19" i="1"/>
  <c r="E14" i="6" l="1"/>
  <c r="E18" i="6"/>
  <c r="H18" i="6" s="1"/>
  <c r="E17" i="6"/>
  <c r="H17" i="6" s="1"/>
  <c r="F5" i="7" s="1"/>
  <c r="E19" i="6"/>
  <c r="G19" i="6" s="1"/>
  <c r="E15" i="6"/>
  <c r="H15" i="6" s="1"/>
  <c r="E16" i="6"/>
  <c r="H16" i="6" s="1"/>
  <c r="G16" i="6"/>
  <c r="D20" i="8"/>
  <c r="G18" i="6"/>
  <c r="H14" i="6"/>
  <c r="G14" i="6"/>
  <c r="F14" i="6"/>
  <c r="F17" i="6"/>
  <c r="C20" i="8"/>
  <c r="C21" i="8" s="1"/>
  <c r="C18" i="8"/>
  <c r="D18" i="8" s="1"/>
  <c r="F23" i="7"/>
  <c r="G30" i="1"/>
  <c r="J20" i="1"/>
  <c r="I20" i="1"/>
  <c r="F18" i="6" l="1"/>
  <c r="F16" i="6"/>
  <c r="F19" i="6"/>
  <c r="G17" i="6"/>
  <c r="E26" i="6"/>
  <c r="H19" i="6"/>
  <c r="H26" i="6" s="1"/>
  <c r="N15" i="6" s="1"/>
  <c r="F15" i="6"/>
  <c r="F26" i="6" s="1"/>
  <c r="G15" i="6"/>
  <c r="G26" i="6" s="1"/>
  <c r="C6" i="12"/>
  <c r="C12" i="12" s="1"/>
  <c r="C4" i="12"/>
  <c r="C10" i="12" s="1"/>
  <c r="C7" i="12"/>
  <c r="C13" i="12" s="1"/>
  <c r="C5" i="12"/>
  <c r="C11" i="12" s="1"/>
  <c r="C3" i="12"/>
  <c r="C9" i="12" s="1"/>
  <c r="C22" i="8"/>
  <c r="U12" i="8"/>
  <c r="V12" i="8"/>
  <c r="C24" i="8"/>
  <c r="G12" i="8"/>
  <c r="I12" i="8"/>
  <c r="K12" i="8"/>
  <c r="M12" i="8"/>
  <c r="O12" i="8"/>
  <c r="Q12" i="8"/>
  <c r="S12" i="8"/>
  <c r="E12" i="8"/>
  <c r="H12" i="8"/>
  <c r="J12" i="8"/>
  <c r="L12" i="8"/>
  <c r="N12" i="8"/>
  <c r="P12" i="8"/>
  <c r="R12" i="8"/>
  <c r="T12" i="8"/>
  <c r="F12" i="8"/>
  <c r="D21" i="8"/>
  <c r="F3" i="7" l="1"/>
  <c r="F7" i="7" s="1"/>
  <c r="D7" i="12"/>
  <c r="D13" i="12" s="1"/>
  <c r="D5" i="12"/>
  <c r="D11" i="12" s="1"/>
  <c r="D6" i="12"/>
  <c r="D12" i="12" s="1"/>
  <c r="D4" i="12"/>
  <c r="D10" i="12" s="1"/>
  <c r="D3" i="12"/>
  <c r="D9" i="12" s="1"/>
  <c r="U10" i="8"/>
  <c r="U13" i="8" s="1"/>
  <c r="U14" i="8" s="1"/>
  <c r="V10" i="8"/>
  <c r="V13" i="8" s="1"/>
  <c r="V14" i="8" s="1"/>
  <c r="F10" i="8"/>
  <c r="F13" i="8" s="1"/>
  <c r="F14" i="8" s="1"/>
  <c r="F15" i="8" s="1"/>
  <c r="F16" i="8" s="1"/>
  <c r="F17" i="8" s="1"/>
  <c r="F20" i="8" s="1"/>
  <c r="J10" i="8"/>
  <c r="J13" i="8" s="1"/>
  <c r="J14" i="8" s="1"/>
  <c r="J15" i="8" s="1"/>
  <c r="J16" i="8" s="1"/>
  <c r="J17" i="8" s="1"/>
  <c r="J20" i="8" s="1"/>
  <c r="N10" i="8"/>
  <c r="N13" i="8" s="1"/>
  <c r="N14" i="8" s="1"/>
  <c r="N15" i="8" s="1"/>
  <c r="N16" i="8" s="1"/>
  <c r="N17" i="8" s="1"/>
  <c r="N20" i="8" s="1"/>
  <c r="R10" i="8"/>
  <c r="R13" i="8" s="1"/>
  <c r="R14" i="8" s="1"/>
  <c r="R15" i="8" s="1"/>
  <c r="R16" i="8" s="1"/>
  <c r="R17" i="8" s="1"/>
  <c r="R20" i="8" s="1"/>
  <c r="E10" i="8"/>
  <c r="E13" i="8" s="1"/>
  <c r="E14" i="8" s="1"/>
  <c r="E15" i="8" s="1"/>
  <c r="E16" i="8" s="1"/>
  <c r="E17" i="8" s="1"/>
  <c r="K10" i="8"/>
  <c r="K13" i="8" s="1"/>
  <c r="K14" i="8" s="1"/>
  <c r="K15" i="8" s="1"/>
  <c r="K16" i="8" s="1"/>
  <c r="K17" i="8" s="1"/>
  <c r="K20" i="8" s="1"/>
  <c r="O10" i="8"/>
  <c r="O13" i="8" s="1"/>
  <c r="O14" i="8" s="1"/>
  <c r="O15" i="8" s="1"/>
  <c r="O16" i="8" s="1"/>
  <c r="O17" i="8" s="1"/>
  <c r="O20" i="8" s="1"/>
  <c r="S10" i="8"/>
  <c r="S13" i="8" s="1"/>
  <c r="S14" i="8" s="1"/>
  <c r="S15" i="8" s="1"/>
  <c r="S16" i="8" s="1"/>
  <c r="S17" i="8" s="1"/>
  <c r="S20" i="8" s="1"/>
  <c r="F21" i="7"/>
  <c r="F26" i="7" s="1"/>
  <c r="B27" i="7" s="1"/>
  <c r="L10" i="8"/>
  <c r="L13" i="8" s="1"/>
  <c r="L14" i="8" s="1"/>
  <c r="L15" i="8" s="1"/>
  <c r="L16" i="8" s="1"/>
  <c r="L17" i="8" s="1"/>
  <c r="L20" i="8" s="1"/>
  <c r="I10" i="8"/>
  <c r="I13" i="8" s="1"/>
  <c r="I14" i="8" s="1"/>
  <c r="I15" i="8" s="1"/>
  <c r="I16" i="8" s="1"/>
  <c r="I17" i="8" s="1"/>
  <c r="I20" i="8" s="1"/>
  <c r="Q10" i="8"/>
  <c r="Q13" i="8" s="1"/>
  <c r="Q14" i="8" s="1"/>
  <c r="Q15" i="8" s="1"/>
  <c r="Q16" i="8" s="1"/>
  <c r="Q17" i="8" s="1"/>
  <c r="Q20" i="8" s="1"/>
  <c r="H10" i="8"/>
  <c r="H13" i="8" s="1"/>
  <c r="H14" i="8" s="1"/>
  <c r="H15" i="8" s="1"/>
  <c r="H16" i="8" s="1"/>
  <c r="H17" i="8" s="1"/>
  <c r="H20" i="8" s="1"/>
  <c r="P10" i="8"/>
  <c r="P13" i="8" s="1"/>
  <c r="P14" i="8" s="1"/>
  <c r="P15" i="8" s="1"/>
  <c r="P16" i="8" s="1"/>
  <c r="P17" i="8" s="1"/>
  <c r="P20" i="8" s="1"/>
  <c r="T10" i="8"/>
  <c r="T13" i="8" s="1"/>
  <c r="T14" i="8" s="1"/>
  <c r="T15" i="8" s="1"/>
  <c r="T16" i="8" s="1"/>
  <c r="T17" i="8" s="1"/>
  <c r="T20" i="8" s="1"/>
  <c r="M10" i="8"/>
  <c r="M13" i="8" s="1"/>
  <c r="M14" i="8" s="1"/>
  <c r="M15" i="8" s="1"/>
  <c r="M16" i="8" s="1"/>
  <c r="M17" i="8" s="1"/>
  <c r="M20" i="8" s="1"/>
  <c r="G10" i="8"/>
  <c r="G13" i="8" s="1"/>
  <c r="G14" i="8" s="1"/>
  <c r="G15" i="8" s="1"/>
  <c r="G16" i="8" s="1"/>
  <c r="G17" i="8" s="1"/>
  <c r="G20" i="8" s="1"/>
  <c r="D24" i="8"/>
  <c r="D22" i="8"/>
  <c r="N16" i="6"/>
  <c r="F15" i="7"/>
  <c r="F18" i="7" s="1"/>
  <c r="U15" i="8" l="1"/>
  <c r="U16" i="8" s="1"/>
  <c r="U17" i="8" s="1"/>
  <c r="V15" i="8"/>
  <c r="V16" i="8" s="1"/>
  <c r="V17" i="8" s="1"/>
  <c r="L27" i="6"/>
  <c r="L28" i="6" s="1"/>
  <c r="F17" i="7"/>
  <c r="F19" i="7" s="1"/>
  <c r="E20" i="8"/>
  <c r="E21" i="8" s="1"/>
  <c r="E18" i="8"/>
  <c r="F18" i="8" s="1"/>
  <c r="G18" i="8" s="1"/>
  <c r="H18" i="8" s="1"/>
  <c r="I18" i="8" s="1"/>
  <c r="J18" i="8" s="1"/>
  <c r="K18" i="8" s="1"/>
  <c r="L18" i="8" s="1"/>
  <c r="M18" i="8" s="1"/>
  <c r="N18" i="8" s="1"/>
  <c r="O18" i="8" s="1"/>
  <c r="P18" i="8" s="1"/>
  <c r="Q18" i="8" s="1"/>
  <c r="R18" i="8" s="1"/>
  <c r="S18" i="8" s="1"/>
  <c r="T18" i="8" s="1"/>
  <c r="B23" i="8"/>
  <c r="V20" i="8" l="1"/>
  <c r="E6" i="12"/>
  <c r="E12" i="12" s="1"/>
  <c r="E4" i="12"/>
  <c r="E10" i="12" s="1"/>
  <c r="E3" i="12"/>
  <c r="E9" i="12" s="1"/>
  <c r="E7" i="12"/>
  <c r="E13" i="12" s="1"/>
  <c r="E5" i="12"/>
  <c r="E11" i="12" s="1"/>
  <c r="U20" i="8"/>
  <c r="U18" i="8"/>
  <c r="V18" i="8" s="1"/>
  <c r="E24" i="8"/>
  <c r="E22" i="8"/>
  <c r="F21" i="8"/>
  <c r="F7" i="12" l="1"/>
  <c r="F13" i="12" s="1"/>
  <c r="F5" i="12"/>
  <c r="F11" i="12" s="1"/>
  <c r="F6" i="12"/>
  <c r="F12" i="12" s="1"/>
  <c r="F4" i="12"/>
  <c r="F10" i="12" s="1"/>
  <c r="F3" i="12"/>
  <c r="F9" i="12" s="1"/>
  <c r="F24" i="8"/>
  <c r="G21" i="8"/>
  <c r="F22" i="8"/>
  <c r="G6" i="12" l="1"/>
  <c r="G12" i="12" s="1"/>
  <c r="G4" i="12"/>
  <c r="G10" i="12" s="1"/>
  <c r="G7" i="12"/>
  <c r="G13" i="12" s="1"/>
  <c r="G5" i="12"/>
  <c r="G11" i="12" s="1"/>
  <c r="G3" i="12"/>
  <c r="G9" i="12" s="1"/>
  <c r="G24" i="8"/>
  <c r="G22" i="8"/>
  <c r="H21" i="8"/>
  <c r="H7" i="12" l="1"/>
  <c r="H13" i="12" s="1"/>
  <c r="H5" i="12"/>
  <c r="H11" i="12" s="1"/>
  <c r="H6" i="12"/>
  <c r="H12" i="12" s="1"/>
  <c r="H4" i="12"/>
  <c r="H10" i="12" s="1"/>
  <c r="H3" i="12"/>
  <c r="H9" i="12" s="1"/>
  <c r="H24" i="8"/>
  <c r="I21" i="8"/>
  <c r="H22" i="8"/>
  <c r="I6" i="12" l="1"/>
  <c r="I12" i="12" s="1"/>
  <c r="I4" i="12"/>
  <c r="I10" i="12" s="1"/>
  <c r="I3" i="12"/>
  <c r="I9" i="12" s="1"/>
  <c r="I7" i="12"/>
  <c r="I13" i="12" s="1"/>
  <c r="I5" i="12"/>
  <c r="I11" i="12" s="1"/>
  <c r="I24" i="8"/>
  <c r="J21" i="8"/>
  <c r="I22" i="8"/>
  <c r="J7" i="12" l="1"/>
  <c r="J13" i="12" s="1"/>
  <c r="J5" i="12"/>
  <c r="J11" i="12" s="1"/>
  <c r="J6" i="12"/>
  <c r="J12" i="12" s="1"/>
  <c r="J4" i="12"/>
  <c r="J10" i="12" s="1"/>
  <c r="J3" i="12"/>
  <c r="J9" i="12" s="1"/>
  <c r="J24" i="8"/>
  <c r="K21" i="8"/>
  <c r="J22" i="8"/>
  <c r="K6" i="12" l="1"/>
  <c r="K12" i="12" s="1"/>
  <c r="K4" i="12"/>
  <c r="K10" i="12" s="1"/>
  <c r="K7" i="12"/>
  <c r="K13" i="12" s="1"/>
  <c r="K5" i="12"/>
  <c r="K11" i="12" s="1"/>
  <c r="K3" i="12"/>
  <c r="K9" i="12" s="1"/>
  <c r="K24" i="8"/>
  <c r="L21" i="8"/>
  <c r="K22" i="8"/>
  <c r="L7" i="12" l="1"/>
  <c r="L13" i="12" s="1"/>
  <c r="L5" i="12"/>
  <c r="L11" i="12" s="1"/>
  <c r="L6" i="12"/>
  <c r="L12" i="12" s="1"/>
  <c r="L4" i="12"/>
  <c r="L10" i="12" s="1"/>
  <c r="L3" i="12"/>
  <c r="L9" i="12" s="1"/>
  <c r="L24" i="8"/>
  <c r="M21" i="8"/>
  <c r="L22" i="8"/>
  <c r="M6" i="12" l="1"/>
  <c r="M12" i="12" s="1"/>
  <c r="M4" i="12"/>
  <c r="M10" i="12" s="1"/>
  <c r="M3" i="12"/>
  <c r="M9" i="12" s="1"/>
  <c r="M7" i="12"/>
  <c r="M13" i="12" s="1"/>
  <c r="M5" i="12"/>
  <c r="M11" i="12" s="1"/>
  <c r="M24" i="8"/>
  <c r="N21" i="8"/>
  <c r="M22" i="8"/>
  <c r="N7" i="12" l="1"/>
  <c r="N13" i="12" s="1"/>
  <c r="N5" i="12"/>
  <c r="N11" i="12" s="1"/>
  <c r="N6" i="12"/>
  <c r="N12" i="12" s="1"/>
  <c r="N4" i="12"/>
  <c r="N10" i="12" s="1"/>
  <c r="N3" i="12"/>
  <c r="N9" i="12" s="1"/>
  <c r="N24" i="8"/>
  <c r="O21" i="8"/>
  <c r="N22" i="8"/>
  <c r="O6" i="12" l="1"/>
  <c r="O12" i="12" s="1"/>
  <c r="O7" i="12"/>
  <c r="O13" i="12" s="1"/>
  <c r="O5" i="12"/>
  <c r="O11" i="12" s="1"/>
  <c r="O4" i="12"/>
  <c r="O10" i="12" s="1"/>
  <c r="O3" i="12"/>
  <c r="O9" i="12" s="1"/>
  <c r="O24" i="8"/>
  <c r="P21" i="8"/>
  <c r="O22" i="8"/>
  <c r="P7" i="12" l="1"/>
  <c r="P13" i="12" s="1"/>
  <c r="P5" i="12"/>
  <c r="P11" i="12" s="1"/>
  <c r="P6" i="12"/>
  <c r="P12" i="12" s="1"/>
  <c r="P4" i="12"/>
  <c r="P10" i="12" s="1"/>
  <c r="P3" i="12"/>
  <c r="P9" i="12" s="1"/>
  <c r="P24" i="8"/>
  <c r="Q21" i="8"/>
  <c r="P22" i="8"/>
  <c r="Q6" i="12" l="1"/>
  <c r="Q12" i="12" s="1"/>
  <c r="Q4" i="12"/>
  <c r="Q10" i="12" s="1"/>
  <c r="Q3" i="12"/>
  <c r="Q9" i="12" s="1"/>
  <c r="Q7" i="12"/>
  <c r="Q13" i="12" s="1"/>
  <c r="Q5" i="12"/>
  <c r="Q11" i="12" s="1"/>
  <c r="Q24" i="8"/>
  <c r="R21" i="8"/>
  <c r="Q22" i="8"/>
  <c r="R7" i="12" l="1"/>
  <c r="R13" i="12" s="1"/>
  <c r="R5" i="12"/>
  <c r="R11" i="12" s="1"/>
  <c r="R6" i="12"/>
  <c r="R12" i="12" s="1"/>
  <c r="R4" i="12"/>
  <c r="R10" i="12" s="1"/>
  <c r="R3" i="12"/>
  <c r="R9" i="12" s="1"/>
  <c r="R24" i="8"/>
  <c r="S21" i="8"/>
  <c r="R22" i="8"/>
  <c r="S6" i="12" l="1"/>
  <c r="S12" i="12" s="1"/>
  <c r="S7" i="12"/>
  <c r="S13" i="12" s="1"/>
  <c r="S5" i="12"/>
  <c r="S11" i="12" s="1"/>
  <c r="S4" i="12"/>
  <c r="S10" i="12" s="1"/>
  <c r="S3" i="12"/>
  <c r="S9" i="12" s="1"/>
  <c r="S24" i="8"/>
  <c r="T21" i="8"/>
  <c r="S22" i="8"/>
  <c r="T7" i="12" l="1"/>
  <c r="T13" i="12" s="1"/>
  <c r="T5" i="12"/>
  <c r="T11" i="12" s="1"/>
  <c r="U21" i="8"/>
  <c r="T6" i="12"/>
  <c r="T12" i="12" s="1"/>
  <c r="T4" i="12"/>
  <c r="T10" i="12" s="1"/>
  <c r="T3" i="12"/>
  <c r="T9" i="12" s="1"/>
  <c r="T24" i="8"/>
  <c r="T22" i="8"/>
  <c r="U6" i="12" l="1"/>
  <c r="U12" i="12" s="1"/>
  <c r="U4" i="12"/>
  <c r="U10" i="12" s="1"/>
  <c r="U24" i="8"/>
  <c r="U22" i="8"/>
  <c r="U3" i="12"/>
  <c r="U9" i="12" s="1"/>
  <c r="U7" i="12"/>
  <c r="U13" i="12" s="1"/>
  <c r="U5" i="12"/>
  <c r="U11" i="12" s="1"/>
  <c r="V21" i="8"/>
  <c r="V7" i="12" l="1"/>
  <c r="V13" i="12" s="1"/>
  <c r="V5" i="12"/>
  <c r="V11" i="12" s="1"/>
  <c r="V6" i="12"/>
  <c r="V12" i="12" s="1"/>
  <c r="V4" i="12"/>
  <c r="V10" i="12" s="1"/>
  <c r="V3" i="12"/>
  <c r="V9" i="12" s="1"/>
  <c r="V22" i="8"/>
  <c r="V24" i="8"/>
</calcChain>
</file>

<file path=xl/sharedStrings.xml><?xml version="1.0" encoding="utf-8"?>
<sst xmlns="http://schemas.openxmlformats.org/spreadsheetml/2006/main" count="494" uniqueCount="303">
  <si>
    <t>Biaya tetap (Fixed Cost)</t>
  </si>
  <si>
    <t>1. Peralatan</t>
  </si>
  <si>
    <t>No</t>
  </si>
  <si>
    <t>Item</t>
  </si>
  <si>
    <t>Harga</t>
  </si>
  <si>
    <t>Unit</t>
  </si>
  <si>
    <t>Total Harga</t>
  </si>
  <si>
    <t>Jumlah hari bekerja</t>
  </si>
  <si>
    <t>8 jam</t>
  </si>
  <si>
    <t xml:space="preserve">1 hari </t>
  </si>
  <si>
    <t>1 minggu</t>
  </si>
  <si>
    <t>5 hari</t>
  </si>
  <si>
    <t>1 bulan</t>
  </si>
  <si>
    <t>22 hari</t>
  </si>
  <si>
    <t>1 tahun</t>
  </si>
  <si>
    <t>264 hari</t>
  </si>
  <si>
    <t>7920 jam</t>
  </si>
  <si>
    <t>kalau 1 orang pekerja per 8 jam menghasilkan 15 liter</t>
  </si>
  <si>
    <t>Kalau ada 15 pekerja berarti satu hari bisa ngehasilin 225 liter</t>
  </si>
  <si>
    <t>Panjang</t>
  </si>
  <si>
    <t>Lebar</t>
  </si>
  <si>
    <t>Tinggi</t>
  </si>
  <si>
    <t>Ukuran cetakan (cm)</t>
  </si>
  <si>
    <t>Volume</t>
  </si>
  <si>
    <t>Liter</t>
  </si>
  <si>
    <t>Volume cetakan (Liter)</t>
  </si>
  <si>
    <t>liter</t>
  </si>
  <si>
    <t>cm^3</t>
  </si>
  <si>
    <t>Cetakan</t>
  </si>
  <si>
    <t>Tangki Air</t>
  </si>
  <si>
    <t>Total</t>
  </si>
  <si>
    <t>Harga Sistem Utilities</t>
  </si>
  <si>
    <t>kW</t>
  </si>
  <si>
    <t>h</t>
  </si>
  <si>
    <t>kWh</t>
  </si>
  <si>
    <t>Harga/kWh</t>
  </si>
  <si>
    <t>Harga/5hari</t>
  </si>
  <si>
    <t>Harga/bulan</t>
  </si>
  <si>
    <t>Harga/tahun</t>
  </si>
  <si>
    <t>Harga 1 hari</t>
  </si>
  <si>
    <t>Bahan</t>
  </si>
  <si>
    <t>Unit (Kg)</t>
  </si>
  <si>
    <t>Harga/Kg</t>
  </si>
  <si>
    <t>Total 1 Kali Running</t>
  </si>
  <si>
    <t>Total 1 Minggu (5 hari Kerja)</t>
  </si>
  <si>
    <t>Total 1 Bulan</t>
  </si>
  <si>
    <t>Total 1 Tahun</t>
  </si>
  <si>
    <t>Product</t>
  </si>
  <si>
    <t>Jumlah 1 minggu kerja</t>
  </si>
  <si>
    <t>jumlah 1 bulan kerja</t>
  </si>
  <si>
    <t>jumlah 1 tahun kerja</t>
  </si>
  <si>
    <t>Jumlah (1 running) L</t>
  </si>
  <si>
    <t>Jumlah 1 minggu kerja (L)</t>
  </si>
  <si>
    <t>jumlah 1 bulan kerja (L)</t>
  </si>
  <si>
    <t>jumlah 1 tahun kerja (L)</t>
  </si>
  <si>
    <t>Jumlah Liter Product yang dihasilkan</t>
  </si>
  <si>
    <t xml:space="preserve">Jumlah (1 running) </t>
  </si>
  <si>
    <t>Jumlah Unit Product yang dihasilkan (Per Cetakan)</t>
  </si>
  <si>
    <t>Jumlah Bahan Habis Pakai yang diperlukan</t>
  </si>
  <si>
    <t>Jumlah 1 running (g)</t>
  </si>
  <si>
    <t>Jumlah 1 minggu kerja (g)</t>
  </si>
  <si>
    <t>Jumlah 1 Bulan Kerja (g)</t>
  </si>
  <si>
    <t>Jumlah 1 Tahun Kerja (g)</t>
  </si>
  <si>
    <t>Jumlah 1 running (kg)</t>
  </si>
  <si>
    <t>Jumlah 1 minggu kerja (kg)</t>
  </si>
  <si>
    <t>Jumlah 1 Bulan Kerja (kg)</t>
  </si>
  <si>
    <t>Jumlah 1 Tahun Kerja (kg)</t>
  </si>
  <si>
    <t>Biaya Tetap (Fixed Cost)</t>
  </si>
  <si>
    <t>Harga (USD)</t>
  </si>
  <si>
    <t>Total Harga (USD)</t>
  </si>
  <si>
    <t>Harga (IDR)</t>
  </si>
  <si>
    <t>Total Harga (IDR)</t>
  </si>
  <si>
    <t>Unit/s</t>
  </si>
  <si>
    <t>Biaya Variabel (Variabel Cost)</t>
  </si>
  <si>
    <t>1. Bahan Baku (Raw Material)</t>
  </si>
  <si>
    <t>Harga/Kg (USD)</t>
  </si>
  <si>
    <t>Harga/Kg (IDR)</t>
  </si>
  <si>
    <t>Unit/Kg</t>
  </si>
  <si>
    <t>Harga (USD) 1 hari</t>
  </si>
  <si>
    <t>Harga (USD) 1 Minggu (5 hari)</t>
  </si>
  <si>
    <t>Harga USD 1 bulan</t>
  </si>
  <si>
    <t>Harga USD 1 tahun</t>
  </si>
  <si>
    <t>Harga (IDR) 1 hari</t>
  </si>
  <si>
    <t>Harga (IDR) 1 Minggu (5 hari)</t>
  </si>
  <si>
    <t>Harga IDR 1 bulan</t>
  </si>
  <si>
    <t>Harga IDR 1 tahun</t>
  </si>
  <si>
    <t>2. Utilitas</t>
  </si>
  <si>
    <t>Total (IDR)</t>
  </si>
  <si>
    <t>Total (USD)</t>
  </si>
  <si>
    <t>3. Kemasan</t>
  </si>
  <si>
    <t>Komponen</t>
  </si>
  <si>
    <t>Faktor</t>
  </si>
  <si>
    <t>Biaya</t>
  </si>
  <si>
    <t>PC (equipment)</t>
  </si>
  <si>
    <t>Piping</t>
  </si>
  <si>
    <t>Electrical</t>
  </si>
  <si>
    <t>Instrumentation</t>
  </si>
  <si>
    <t>Utilities</t>
  </si>
  <si>
    <t>Foundations</t>
  </si>
  <si>
    <t>Insulations</t>
  </si>
  <si>
    <t>Painting, fireprofing, safety</t>
  </si>
  <si>
    <t>Yard Improvement</t>
  </si>
  <si>
    <t>Environmental</t>
  </si>
  <si>
    <t>Building</t>
  </si>
  <si>
    <t>Land</t>
  </si>
  <si>
    <t>Subtotal 1</t>
  </si>
  <si>
    <t>PC (management services)</t>
  </si>
  <si>
    <t>Constructions, engineering</t>
  </si>
  <si>
    <t>Contractors fee</t>
  </si>
  <si>
    <t>Contigency</t>
  </si>
  <si>
    <t>Subtotal 2</t>
  </si>
  <si>
    <t>Total PC (=equipment + management service)</t>
  </si>
  <si>
    <t>TPC (=Total PC - Land)</t>
  </si>
  <si>
    <t>Starting-up fee</t>
  </si>
  <si>
    <t>Off-site facilities</t>
  </si>
  <si>
    <t>Plant strart-up</t>
  </si>
  <si>
    <t>Working capital</t>
  </si>
  <si>
    <t>Subtotal 3</t>
  </si>
  <si>
    <t>TIC (=TPC + Starting up fee)</t>
  </si>
  <si>
    <t>TIC-Land</t>
  </si>
  <si>
    <t>Estimasi Biaya Total Produksi</t>
  </si>
  <si>
    <t>Factor</t>
  </si>
  <si>
    <t>Nilai (per 5 hari)</t>
  </si>
  <si>
    <t>Nilai (Per bulan)</t>
  </si>
  <si>
    <t>Nilai (Per tahun)</t>
  </si>
  <si>
    <t>Total Life Time</t>
  </si>
  <si>
    <t>years</t>
  </si>
  <si>
    <t>Raw Materials</t>
  </si>
  <si>
    <t>Utilites</t>
  </si>
  <si>
    <t>Loan Interest</t>
  </si>
  <si>
    <t>Operating Labor</t>
  </si>
  <si>
    <t>Labor related cost</t>
  </si>
  <si>
    <t>of loan</t>
  </si>
  <si>
    <t>LABOR</t>
  </si>
  <si>
    <t>1 hari</t>
  </si>
  <si>
    <t>bulan</t>
  </si>
  <si>
    <t>tahun</t>
  </si>
  <si>
    <t>Sallary per orang</t>
  </si>
  <si>
    <t>PENJUALAN</t>
  </si>
  <si>
    <t>Harga satuan</t>
  </si>
  <si>
    <t>Sallary per 15 orang</t>
  </si>
  <si>
    <t>1 Minggu (5 hari)</t>
  </si>
  <si>
    <t>Sales</t>
  </si>
  <si>
    <t>Total Manufacturing Cost</t>
  </si>
  <si>
    <t>Provit</t>
  </si>
  <si>
    <t>Estimasi Keuntungan</t>
  </si>
  <si>
    <t>a. Payroll overhead</t>
  </si>
  <si>
    <t>of labor</t>
  </si>
  <si>
    <t>b. Supervisory, misc. labor</t>
  </si>
  <si>
    <t>c. Laboratory charges</t>
  </si>
  <si>
    <t>Capital related cost</t>
  </si>
  <si>
    <t>a. maintenance</t>
  </si>
  <si>
    <t>of (TPC-land)</t>
  </si>
  <si>
    <t>b. Operating supplies</t>
  </si>
  <si>
    <t>c. Enviromental</t>
  </si>
  <si>
    <t>d. Depreciation</t>
  </si>
  <si>
    <t>e. Local taxes, insurance</t>
  </si>
  <si>
    <t>f. Plant overhead cost</t>
  </si>
  <si>
    <t>Sales related cost</t>
  </si>
  <si>
    <t>a. Packaging</t>
  </si>
  <si>
    <t>of sale</t>
  </si>
  <si>
    <t>b. Administration</t>
  </si>
  <si>
    <t>c. Distribution and marketing</t>
  </si>
  <si>
    <t>d. Research and development</t>
  </si>
  <si>
    <t>e. Patents and royalties</t>
  </si>
  <si>
    <t>Nilai (per 1 hari)</t>
  </si>
  <si>
    <t>Harga/hari</t>
  </si>
  <si>
    <t>Harga/Minggu (5 hari)</t>
  </si>
  <si>
    <t>Jual</t>
  </si>
  <si>
    <t>Beli</t>
  </si>
  <si>
    <t>GMP (USD)</t>
  </si>
  <si>
    <t>GMP (IDR)</t>
  </si>
  <si>
    <t>Total ROI</t>
  </si>
  <si>
    <t>ROI per year</t>
  </si>
  <si>
    <t>Estimasi Biaya Fixed Cost, Variable Cost dan BEP</t>
  </si>
  <si>
    <t>Fixed Cost</t>
  </si>
  <si>
    <t>Loan interest</t>
  </si>
  <si>
    <t>rupiah/y</t>
  </si>
  <si>
    <t>Capital Related Cost</t>
  </si>
  <si>
    <t>Fixed cost + Depresiasi</t>
  </si>
  <si>
    <t>Depreciation</t>
  </si>
  <si>
    <t>Fixed cost less depreciation</t>
  </si>
  <si>
    <t>Total Fixed Cost</t>
  </si>
  <si>
    <t>Variable Cost</t>
  </si>
  <si>
    <t>Raw material</t>
  </si>
  <si>
    <t>Operating Labor (OL)</t>
  </si>
  <si>
    <t>Labor Related Cost</t>
  </si>
  <si>
    <t>Sales Related Cost</t>
  </si>
  <si>
    <t>Total Variable Cost</t>
  </si>
  <si>
    <t>% Profit Estimated</t>
  </si>
  <si>
    <t>Manufacturing cost</t>
  </si>
  <si>
    <t>Investment</t>
  </si>
  <si>
    <t>Profit</t>
  </si>
  <si>
    <t>Profit to Sales</t>
  </si>
  <si>
    <t>Provite to Investment</t>
  </si>
  <si>
    <t>BEP</t>
  </si>
  <si>
    <t xml:space="preserve">Sales </t>
  </si>
  <si>
    <t>satuan/t</t>
  </si>
  <si>
    <t>rupiah/satuan</t>
  </si>
  <si>
    <t>satuan</t>
  </si>
  <si>
    <t>BEC</t>
  </si>
  <si>
    <t>Year</t>
  </si>
  <si>
    <t>Discount Rate</t>
  </si>
  <si>
    <t>Production Capacity</t>
  </si>
  <si>
    <t>End of year Number</t>
  </si>
  <si>
    <t>Investement-Land</t>
  </si>
  <si>
    <t>Working Capital</t>
  </si>
  <si>
    <t>Variabel Cost</t>
  </si>
  <si>
    <t>Pre Tax Profit</t>
  </si>
  <si>
    <t>Taxable Profit</t>
  </si>
  <si>
    <t>Income Tax (10%)</t>
  </si>
  <si>
    <t>After Tax Profit</t>
  </si>
  <si>
    <t xml:space="preserve">Cash Flow </t>
  </si>
  <si>
    <t>Cumulative Cash Flow</t>
  </si>
  <si>
    <t>Discounted Factor</t>
  </si>
  <si>
    <t>Net Present Value</t>
  </si>
  <si>
    <t>Cumulative Net Present Value</t>
  </si>
  <si>
    <t>CNPV/Investment</t>
  </si>
  <si>
    <t>Interual Rate of Return</t>
  </si>
  <si>
    <t>CNPV/TIC (nilai PI)</t>
  </si>
  <si>
    <t>Perubahan Harga</t>
  </si>
  <si>
    <t>Sensitivitas</t>
  </si>
  <si>
    <t>harga+(harga*sensitivitas)+ total-harga</t>
  </si>
  <si>
    <t>GMP</t>
  </si>
  <si>
    <t>Manufacturing Cost</t>
  </si>
  <si>
    <t>Provit to investment</t>
  </si>
  <si>
    <t>PI profit to sales</t>
  </si>
  <si>
    <t>Harga/Tahun</t>
  </si>
  <si>
    <t>Sensitivity</t>
  </si>
  <si>
    <t>Raw materials</t>
  </si>
  <si>
    <t>Utility</t>
  </si>
  <si>
    <t>PI profit to investment</t>
  </si>
  <si>
    <t>tahun/CNPV variasi tax</t>
  </si>
  <si>
    <t>Variasi tax 10%, 25%, 50%, 75%, 100%</t>
  </si>
  <si>
    <t>Life Time</t>
  </si>
  <si>
    <t>Variasi Variable Cost</t>
  </si>
  <si>
    <t>40 jam</t>
  </si>
  <si>
    <t>176 jam</t>
  </si>
  <si>
    <t>2FeCl3.6H2O + FeCl2.4H2O + 8NH4OH = Fe3O4 + 20H2O + 8NH4Cl</t>
  </si>
  <si>
    <t>240000 g =  240 kg</t>
  </si>
  <si>
    <t>120000 g = 120 kg</t>
  </si>
  <si>
    <t>berarti nanopartikel Fe3O4 yang dapat di hasilkan dalam kurun waktu 1 bulan 225x22 = 4.950 liter</t>
  </si>
  <si>
    <t>1 cetakan membutuhkan 0.006 liter adonan nanopartikel Fe3O4</t>
  </si>
  <si>
    <t>Tangki / Toren Air 500 Liter</t>
  </si>
  <si>
    <t>https://www.tokopedia.com/bazarbangunan/tangki-tandon-toren-air-water-tank-alco-500-liter-ltr-l-orange?extParam=ivf%3Dfalse%26src%3Dsearch</t>
  </si>
  <si>
    <t>Tongkat Pengaduk</t>
  </si>
  <si>
    <t>Tongkat pengaduk</t>
  </si>
  <si>
    <t>https://www.tokopedia.com/suksesjayateknik/tjap-mata-pengaduk-cat-60-x-400-mm-tongkat-mixer-semen?extParam=ivf%3Dfalse&amp;src=topads</t>
  </si>
  <si>
    <t>Pompa Air Tipe DAB  DB-125</t>
  </si>
  <si>
    <t>Pompa air</t>
  </si>
  <si>
    <t>https://www.tokopedia.com/gadingdiesel/pompa-air-tipe-dab-db-125?extParam=ivf%3Dfalse&amp;src=topads</t>
  </si>
  <si>
    <t>Tangki Filter 1054</t>
  </si>
  <si>
    <t>Tangki Filter</t>
  </si>
  <si>
    <t>https://www.tokopedia.com/diamond87/frp-tank-1054-tabung-media-1054-tangki-filter-1054?extParam=ivf%3Dfalse%26src%3Dsearch</t>
  </si>
  <si>
    <t>Mesin Freeze Dry</t>
  </si>
  <si>
    <t>https://www.tokopedia.com/yangpentinghalal/electrically-heated-freeze-dry-machine-intermittent-ordinary-freeze?extParam=ivf%3Dfalse%26src%3Dsearch</t>
  </si>
  <si>
    <t>Cetakan Stainless uk. 11 x 7 x 3 cm</t>
  </si>
  <si>
    <t>Cetakan Stainless</t>
  </si>
  <si>
    <t>https://www.tokopedia.com/hortilaptop/cetakan-roti-ring-roti-oval-cetakan-stenlis-11-cm?extParam=ivf%3Dfalse&amp;src=topads</t>
  </si>
  <si>
    <t>Sumber harga Tokopedia</t>
  </si>
  <si>
    <t>Listrik Pompa Air</t>
  </si>
  <si>
    <t>Listrik Freeze Dry</t>
  </si>
  <si>
    <t>FeCl3.6H2O</t>
  </si>
  <si>
    <t>FeCl2.4H2O</t>
  </si>
  <si>
    <t>NH4OH</t>
  </si>
  <si>
    <t>https://www.tokopedia.com/planetkimia/besi-iii-chloride-heksahidrat-fecl3-6h2o-pro-analisa-per-gram-5-gram?extParam=ivf%3Dfalse%26src%3Dsearch</t>
  </si>
  <si>
    <t>https://www.tokopedia.com/planetkimia/besi-ii-chloride-tetrahidrat-fecl2-4h2o-pro-analisa-per-gram-100-gram?extParam=ivf%3Dfalse%26src%3Dsearch</t>
  </si>
  <si>
    <t>https://www.tokopedia.com/jic89/larutan-amonia-nh4oh-ukuran-per-1-kg?extParam=ivf%3Dfalse%26src%3Dsearch</t>
  </si>
  <si>
    <t>1 cetakan Fe3O4 = 16 g  FeCl3.6H2O + 8 g FeCl2.4H2O + 64 g NH4OH</t>
  </si>
  <si>
    <t>15000 cetakan = 240000 g FeCl3.6H2O + 120000 g FeCl2.4H2O + 960000 g NH4OH</t>
  </si>
  <si>
    <t>960000 g = 960 kg</t>
  </si>
  <si>
    <t>Nanopartikel Fe3O4</t>
  </si>
  <si>
    <t>Analisa Usaha Produksi Nanopartikel Fe3O4</t>
  </si>
  <si>
    <t>Plastik Zipper 12x22</t>
  </si>
  <si>
    <t>Plastik zipper</t>
  </si>
  <si>
    <t>https://www.tokopedia.com/ruzpackofficialstore/12x22cm-zipper-bag-frosted-pouch-mika-plastik-baju-travel-ziplock?extParam=ivf%3Dfalse%26src%3Dsearch</t>
  </si>
  <si>
    <t>Estimasi Total Investasi Produksi Nanopartikel Fe3O4</t>
  </si>
  <si>
    <t xml:space="preserve"> </t>
  </si>
  <si>
    <t>Jumlah/s (0,231 L Larutan Nanopartikel Fe3O4)</t>
  </si>
  <si>
    <t>PC (peralatan)</t>
  </si>
  <si>
    <t>Pipa</t>
  </si>
  <si>
    <t>Listrik</t>
  </si>
  <si>
    <t>Instrumen</t>
  </si>
  <si>
    <t>Utilitas</t>
  </si>
  <si>
    <t>Pendiri</t>
  </si>
  <si>
    <t>Isolasi</t>
  </si>
  <si>
    <t>Pengecatan, tahan api, keamanan</t>
  </si>
  <si>
    <t>Perbaikan pekarangan</t>
  </si>
  <si>
    <t>Lingkungan</t>
  </si>
  <si>
    <t>Bangunan</t>
  </si>
  <si>
    <t>Tanah</t>
  </si>
  <si>
    <t>Konstruksi, teknik</t>
  </si>
  <si>
    <t>Biaya kontraktor</t>
  </si>
  <si>
    <t>Potensial</t>
  </si>
  <si>
    <t>PC (layanan manajemen)</t>
  </si>
  <si>
    <t>Total PC (=peralatan + layanan manajemen)</t>
  </si>
  <si>
    <t>TPC (=Total PC - Tanah)</t>
  </si>
  <si>
    <t>Biaya awal</t>
  </si>
  <si>
    <t>Fasilitas di luar lokasi</t>
  </si>
  <si>
    <t>Modal kerja</t>
  </si>
  <si>
    <t>Awal perencanaan</t>
  </si>
  <si>
    <t>TIC (=TPC + Biaya awal)</t>
  </si>
  <si>
    <t>TIC-Tanah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</si>
</sst>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&quot;Rp&quot;* #,##0_-;\-&quot;Rp&quot;* #,##0_-;_-&quot;Rp&quot;* &quot;-&quot;_-;_-@_-"/>
    <numFmt numFmtId="44" formatCode="_-&quot;Rp&quot;* #,##0.00_-;\-&quot;Rp&quot;* #,##0.00_-;_-&quot;Rp&quot;* &quot;-&quot;??_-;_-@_-"/>
    <numFmt numFmtId="164" formatCode="_-[$Rp-421]* #,##0.00_-;\-[$Rp-421]* #,##0.00_-;_-[$Rp-421]* &quot;-&quot;??_-;_-@_-"/>
    <numFmt numFmtId="165" formatCode="_-[$$-409]* #,##0.00_ ;_-[$$-409]* \-#,##0.00\ ;_-[$$-409]* &quot;-&quot;??_ ;_-@_ "/>
    <numFmt numFmtId="166" formatCode="_-[$$-409]* #,##0.0000_ ;_-[$$-409]* \-#,##0.0000\ ;_-[$$-409]* &quot;-&quot;????_ ;_-@_ "/>
    <numFmt numFmtId="167" formatCode="_(&quot;$&quot;* #,##0.00_);_(&quot;$&quot;* \(#,##0.00\);_(&quot;$&quot;* &quot;-&quot;??_);_(@_)"/>
    <numFmt numFmtId="168" formatCode="0.000"/>
    <numFmt numFmtId="169" formatCode="0.0000"/>
    <numFmt numFmtId="170" formatCode="0.0"/>
  </numFmts>
  <fonts count="1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2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0" applyFont="1"/>
    <xf numFmtId="164" fontId="0" fillId="0" borderId="0" xfId="1" applyNumberFormat="1" applyFont="1"/>
    <xf numFmtId="165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/>
    <xf numFmtId="0" fontId="4" fillId="0" borderId="0" xfId="2"/>
    <xf numFmtId="0" fontId="0" fillId="0" borderId="0" xfId="0" applyNumberFormat="1"/>
    <xf numFmtId="0" fontId="0" fillId="2" borderId="0" xfId="0" applyFill="1"/>
    <xf numFmtId="0" fontId="0" fillId="3" borderId="0" xfId="0" applyFill="1"/>
    <xf numFmtId="0" fontId="6" fillId="0" borderId="0" xfId="0" applyFont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0" borderId="1" xfId="0" applyBorder="1" applyAlignment="1">
      <alignment wrapText="1"/>
    </xf>
    <xf numFmtId="166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166" fontId="0" fillId="4" borderId="1" xfId="0" applyNumberFormat="1" applyFill="1" applyBorder="1"/>
    <xf numFmtId="164" fontId="0" fillId="4" borderId="1" xfId="0" applyNumberFormat="1" applyFill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top"/>
    </xf>
    <xf numFmtId="1" fontId="0" fillId="0" borderId="1" xfId="0" applyNumberFormat="1" applyBorder="1" applyAlignment="1">
      <alignment horizontal="center" vertical="top"/>
    </xf>
    <xf numFmtId="166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6" fontId="8" fillId="4" borderId="1" xfId="0" applyNumberFormat="1" applyFont="1" applyFill="1" applyBorder="1" applyAlignment="1">
      <alignment vertical="top"/>
    </xf>
    <xf numFmtId="164" fontId="8" fillId="4" borderId="1" xfId="0" applyNumberFormat="1" applyFont="1" applyFill="1" applyBorder="1" applyAlignment="1">
      <alignment vertical="top"/>
    </xf>
    <xf numFmtId="0" fontId="0" fillId="2" borderId="1" xfId="0" applyFill="1" applyBorder="1"/>
    <xf numFmtId="165" fontId="0" fillId="0" borderId="1" xfId="0" applyNumberFormat="1" applyBorder="1" applyAlignment="1">
      <alignment vertical="top"/>
    </xf>
    <xf numFmtId="165" fontId="0" fillId="4" borderId="1" xfId="0" applyNumberFormat="1" applyFill="1" applyBorder="1"/>
    <xf numFmtId="0" fontId="8" fillId="0" borderId="0" xfId="0" applyFont="1"/>
    <xf numFmtId="0" fontId="6" fillId="0" borderId="1" xfId="0" applyFont="1" applyBorder="1"/>
    <xf numFmtId="165" fontId="0" fillId="0" borderId="1" xfId="0" applyNumberFormat="1" applyBorder="1"/>
    <xf numFmtId="0" fontId="0" fillId="0" borderId="1" xfId="0" applyBorder="1" applyAlignment="1"/>
    <xf numFmtId="0" fontId="8" fillId="0" borderId="1" xfId="0" applyFont="1" applyBorder="1" applyAlignment="1">
      <alignment horizontal="center"/>
    </xf>
    <xf numFmtId="0" fontId="0" fillId="0" borderId="0" xfId="0" applyBorder="1" applyAlignment="1"/>
    <xf numFmtId="0" fontId="8" fillId="0" borderId="1" xfId="0" applyFont="1" applyBorder="1"/>
    <xf numFmtId="44" fontId="0" fillId="0" borderId="1" xfId="3" applyFont="1" applyBorder="1"/>
    <xf numFmtId="0" fontId="8" fillId="0" borderId="1" xfId="0" applyFont="1" applyBorder="1" applyAlignment="1"/>
    <xf numFmtId="0" fontId="8" fillId="0" borderId="1" xfId="0" applyFont="1" applyBorder="1" applyAlignment="1">
      <alignment horizontal="left"/>
    </xf>
    <xf numFmtId="0" fontId="8" fillId="0" borderId="1" xfId="0" applyFont="1" applyFill="1" applyBorder="1"/>
    <xf numFmtId="0" fontId="0" fillId="0" borderId="1" xfId="0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0" fillId="0" borderId="0" xfId="0" applyNumberFormat="1" applyAlignment="1">
      <alignment horizontal="right"/>
    </xf>
    <xf numFmtId="0" fontId="0" fillId="0" borderId="4" xfId="0" applyBorder="1"/>
    <xf numFmtId="0" fontId="0" fillId="0" borderId="2" xfId="0" applyBorder="1"/>
    <xf numFmtId="0" fontId="0" fillId="0" borderId="7" xfId="0" applyBorder="1"/>
    <xf numFmtId="165" fontId="0" fillId="0" borderId="1" xfId="3" applyNumberFormat="1" applyFont="1" applyBorder="1"/>
    <xf numFmtId="9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8" fillId="2" borderId="6" xfId="0" applyFont="1" applyFill="1" applyBorder="1" applyAlignment="1">
      <alignment horizontal="left" indent="5"/>
    </xf>
    <xf numFmtId="0" fontId="0" fillId="2" borderId="4" xfId="0" applyFill="1" applyBorder="1"/>
    <xf numFmtId="0" fontId="8" fillId="4" borderId="2" xfId="0" applyFont="1" applyFill="1" applyBorder="1" applyAlignment="1">
      <alignment horizontal="left" indent="14"/>
    </xf>
    <xf numFmtId="0" fontId="0" fillId="4" borderId="3" xfId="0" applyFill="1" applyBorder="1"/>
    <xf numFmtId="0" fontId="0" fillId="4" borderId="4" xfId="0" applyFill="1" applyBorder="1"/>
    <xf numFmtId="165" fontId="0" fillId="4" borderId="1" xfId="3" applyNumberFormat="1" applyFont="1" applyFill="1" applyBorder="1"/>
    <xf numFmtId="165" fontId="0" fillId="0" borderId="1" xfId="0" applyNumberFormat="1" applyBorder="1" applyAlignment="1">
      <alignment horizontal="center"/>
    </xf>
    <xf numFmtId="0" fontId="8" fillId="2" borderId="1" xfId="0" applyFont="1" applyFill="1" applyBorder="1" applyAlignment="1">
      <alignment horizontal="left" indent="5"/>
    </xf>
    <xf numFmtId="165" fontId="0" fillId="4" borderId="1" xfId="0" applyNumberForma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165" fontId="0" fillId="0" borderId="0" xfId="0" applyNumberFormat="1" applyFill="1" applyBorder="1"/>
    <xf numFmtId="164" fontId="0" fillId="0" borderId="0" xfId="0" applyNumberFormat="1" applyFill="1" applyBorder="1"/>
    <xf numFmtId="167" fontId="0" fillId="0" borderId="0" xfId="0" applyNumberFormat="1"/>
    <xf numFmtId="165" fontId="8" fillId="0" borderId="1" xfId="0" applyNumberFormat="1" applyFont="1" applyBorder="1"/>
    <xf numFmtId="0" fontId="0" fillId="0" borderId="1" xfId="0" applyNumberFormat="1" applyBorder="1"/>
    <xf numFmtId="168" fontId="7" fillId="5" borderId="1" xfId="0" applyNumberFormat="1" applyFont="1" applyFill="1" applyBorder="1"/>
    <xf numFmtId="1" fontId="5" fillId="5" borderId="1" xfId="0" applyNumberFormat="1" applyFont="1" applyFill="1" applyBorder="1"/>
    <xf numFmtId="168" fontId="7" fillId="0" borderId="1" xfId="0" applyNumberFormat="1" applyFont="1" applyBorder="1"/>
    <xf numFmtId="9" fontId="5" fillId="0" borderId="1" xfId="4" applyFont="1" applyBorder="1"/>
    <xf numFmtId="9" fontId="5" fillId="0" borderId="1" xfId="4" applyFont="1" applyFill="1" applyBorder="1"/>
    <xf numFmtId="168" fontId="7" fillId="2" borderId="1" xfId="0" applyNumberFormat="1" applyFont="1" applyFill="1" applyBorder="1"/>
    <xf numFmtId="168" fontId="7" fillId="0" borderId="1" xfId="0" applyNumberFormat="1" applyFont="1" applyFill="1" applyBorder="1"/>
    <xf numFmtId="2" fontId="5" fillId="0" borderId="1" xfId="0" applyNumberFormat="1" applyFont="1" applyBorder="1"/>
    <xf numFmtId="168" fontId="7" fillId="0" borderId="0" xfId="0" applyNumberFormat="1" applyFont="1" applyFill="1" applyBorder="1"/>
    <xf numFmtId="165" fontId="0" fillId="0" borderId="5" xfId="0" applyNumberFormat="1" applyFill="1" applyBorder="1"/>
    <xf numFmtId="2" fontId="5" fillId="0" borderId="1" xfId="0" applyNumberFormat="1" applyFont="1" applyFill="1" applyBorder="1"/>
    <xf numFmtId="2" fontId="5" fillId="2" borderId="1" xfId="0" applyNumberFormat="1" applyFont="1" applyFill="1" applyBorder="1"/>
    <xf numFmtId="2" fontId="5" fillId="5" borderId="1" xfId="0" applyNumberFormat="1" applyFont="1" applyFill="1" applyBorder="1"/>
    <xf numFmtId="169" fontId="5" fillId="0" borderId="1" xfId="4" applyNumberFormat="1" applyFont="1" applyBorder="1"/>
    <xf numFmtId="170" fontId="0" fillId="0" borderId="0" xfId="0" applyNumberFormat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horizontal="center" vertical="top"/>
    </xf>
    <xf numFmtId="165" fontId="0" fillId="0" borderId="1" xfId="0" applyNumberFormat="1" applyFill="1" applyBorder="1" applyAlignment="1">
      <alignment vertical="top"/>
    </xf>
    <xf numFmtId="9" fontId="5" fillId="0" borderId="0" xfId="0" applyNumberFormat="1" applyFont="1"/>
    <xf numFmtId="0" fontId="5" fillId="0" borderId="0" xfId="0" applyFont="1"/>
    <xf numFmtId="9" fontId="5" fillId="0" borderId="1" xfId="0" applyNumberFormat="1" applyFont="1" applyBorder="1"/>
    <xf numFmtId="9" fontId="0" fillId="0" borderId="0" xfId="4" applyFont="1"/>
    <xf numFmtId="0" fontId="5" fillId="0" borderId="0" xfId="0" applyFont="1" applyAlignment="1">
      <alignment horizontal="center"/>
    </xf>
    <xf numFmtId="168" fontId="5" fillId="0" borderId="0" xfId="0" applyNumberFormat="1" applyFont="1" applyBorder="1" applyAlignment="1">
      <alignment horizontal="center"/>
    </xf>
    <xf numFmtId="9" fontId="5" fillId="0" borderId="0" xfId="4" applyNumberFormat="1" applyFont="1"/>
    <xf numFmtId="0" fontId="0" fillId="0" borderId="1" xfId="0" applyBorder="1" applyAlignment="1">
      <alignment horizontal="center" vertical="center"/>
    </xf>
    <xf numFmtId="9" fontId="0" fillId="0" borderId="1" xfId="1" applyNumberFormat="1" applyFont="1" applyBorder="1"/>
    <xf numFmtId="9" fontId="0" fillId="0" borderId="0" xfId="0" applyNumberFormat="1"/>
    <xf numFmtId="2" fontId="0" fillId="0" borderId="0" xfId="0" applyNumberFormat="1"/>
    <xf numFmtId="0" fontId="1" fillId="0" borderId="0" xfId="0" applyFont="1"/>
    <xf numFmtId="168" fontId="0" fillId="0" borderId="0" xfId="0" applyNumberFormat="1" applyAlignment="1">
      <alignment horizontal="center"/>
    </xf>
    <xf numFmtId="164" fontId="0" fillId="0" borderId="1" xfId="1" applyNumberFormat="1" applyFont="1" applyBorder="1"/>
    <xf numFmtId="0" fontId="3" fillId="0" borderId="1" xfId="0" applyFont="1" applyBorder="1"/>
    <xf numFmtId="0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165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5" fontId="0" fillId="2" borderId="1" xfId="0" applyNumberFormat="1" applyFill="1" applyBorder="1"/>
    <xf numFmtId="9" fontId="0" fillId="0" borderId="0" xfId="4" applyNumberFormat="1" applyFont="1"/>
    <xf numFmtId="0" fontId="8" fillId="4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8" fillId="4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left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65" fontId="10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/>
    <xf numFmtId="0" fontId="9" fillId="0" borderId="1" xfId="0" applyFont="1" applyBorder="1" applyAlignment="1">
      <alignment horizontal="left"/>
    </xf>
    <xf numFmtId="0" fontId="9" fillId="0" borderId="1" xfId="0" applyFont="1" applyFill="1" applyBorder="1"/>
  </cellXfs>
  <cellStyles count="5">
    <cellStyle name="Currency" xfId="3" builtinId="4"/>
    <cellStyle name="Currency [0]" xfId="1" builtinId="7"/>
    <cellStyle name="Hyperlink" xfId="2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'CNPV, PVP, IRR'!$B$25:$V$25</c:f>
              <c:numCache>
                <c:formatCode>0.0</c:formatCode>
                <c:ptCount val="21"/>
                <c:pt idx="0">
                  <c:v>0</c:v>
                </c:pt>
                <c:pt idx="1">
                  <c:v>-0.59162941893539223</c:v>
                </c:pt>
                <c:pt idx="2">
                  <c:v>-0.97464798685582055</c:v>
                </c:pt>
                <c:pt idx="3">
                  <c:v>600.89790000000005</c:v>
                </c:pt>
                <c:pt idx="4">
                  <c:v>1309.3523</c:v>
                </c:pt>
                <c:pt idx="5">
                  <c:v>1839.3126</c:v>
                </c:pt>
                <c:pt idx="6">
                  <c:v>2300.1477</c:v>
                </c:pt>
                <c:pt idx="7">
                  <c:v>2700.8737999999998</c:v>
                </c:pt>
                <c:pt idx="8">
                  <c:v>3049.3312999999998</c:v>
                </c:pt>
                <c:pt idx="9">
                  <c:v>3352.3379</c:v>
                </c:pt>
                <c:pt idx="10">
                  <c:v>3615.8218000000002</c:v>
                </c:pt>
                <c:pt idx="11">
                  <c:v>3844.9382999999998</c:v>
                </c:pt>
                <c:pt idx="12">
                  <c:v>4044.17</c:v>
                </c:pt>
                <c:pt idx="13">
                  <c:v>4217.415</c:v>
                </c:pt>
                <c:pt idx="14">
                  <c:v>4368.0627999999997</c:v>
                </c:pt>
                <c:pt idx="15">
                  <c:v>4499.0609000000004</c:v>
                </c:pt>
                <c:pt idx="16">
                  <c:v>4612.9722000000002</c:v>
                </c:pt>
                <c:pt idx="17">
                  <c:v>4712.0255999999999</c:v>
                </c:pt>
                <c:pt idx="18">
                  <c:v>4798.1589999999997</c:v>
                </c:pt>
                <c:pt idx="19">
                  <c:v>4873.0576000000001</c:v>
                </c:pt>
                <c:pt idx="20">
                  <c:v>4938.1868000000004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268-45CB-AC56-F2737E3E9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336992"/>
        <c:axId val="1669334272"/>
      </c:scatterChart>
      <c:valAx>
        <c:axId val="1669336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i="1"/>
                  <a:t>Life Time </a:t>
                </a:r>
                <a:r>
                  <a:rPr lang="en-US"/>
                  <a:t>(Tahun)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334272"/>
        <c:crosses val="autoZero"/>
        <c:crossBetween val="midCat"/>
      </c:valAx>
      <c:valAx>
        <c:axId val="166933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CNPV/TIC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33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FeCl3.6H2O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'Variasi GPM(pack) RMS'!$B$15:$B$23</c:f>
              <c:numCache>
                <c:formatCode>0%</c:formatCode>
                <c:ptCount val="9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</c:numCache>
            </c:numRef>
          </c:cat>
          <c:val>
            <c:numRef>
              <c:f>'Variasi GPM(pack) RMS'!$C$15:$C$23</c:f>
              <c:numCache>
                <c:formatCode>General</c:formatCode>
                <c:ptCount val="9"/>
                <c:pt idx="0">
                  <c:v>2535610</c:v>
                </c:pt>
                <c:pt idx="1">
                  <c:v>4660570</c:v>
                </c:pt>
                <c:pt idx="2">
                  <c:v>6785539.2000000002</c:v>
                </c:pt>
                <c:pt idx="3">
                  <c:v>8910500</c:v>
                </c:pt>
                <c:pt idx="4">
                  <c:v>11035500</c:v>
                </c:pt>
                <c:pt idx="5">
                  <c:v>13160400</c:v>
                </c:pt>
                <c:pt idx="6">
                  <c:v>15285400</c:v>
                </c:pt>
                <c:pt idx="7">
                  <c:v>17410400</c:v>
                </c:pt>
                <c:pt idx="8">
                  <c:v>19535300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FAE-4F90-B333-82506DF5B58D}"/>
            </c:ext>
          </c:extLst>
        </c:ser>
        <c:ser>
          <c:idx val="1"/>
          <c:order val="1"/>
          <c:tx>
            <c:strRef>
              <c:f>'Variasi GPM(pack) RMS'!$E$13</c:f>
              <c:strCache>
                <c:ptCount val="1"/>
                <c:pt idx="0">
                  <c:v>FeCl2.4H2O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'Variasi GPM(pack) RMS'!$E$15:$E$23</c:f>
              <c:numCache>
                <c:formatCode>0%</c:formatCode>
                <c:ptCount val="9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</c:numCache>
            </c:numRef>
          </c:cat>
          <c:val>
            <c:numRef>
              <c:f>'Variasi GPM(pack) RMS'!$F$15:$F$23</c:f>
              <c:numCache>
                <c:formatCode>General</c:formatCode>
                <c:ptCount val="9"/>
                <c:pt idx="0">
                  <c:v>4306440</c:v>
                </c:pt>
                <c:pt idx="1">
                  <c:v>5545990</c:v>
                </c:pt>
                <c:pt idx="2">
                  <c:v>6785539.2000000002</c:v>
                </c:pt>
                <c:pt idx="3">
                  <c:v>8025090</c:v>
                </c:pt>
                <c:pt idx="4">
                  <c:v>9264640</c:v>
                </c:pt>
                <c:pt idx="5">
                  <c:v>10504200</c:v>
                </c:pt>
                <c:pt idx="6">
                  <c:v>11743700</c:v>
                </c:pt>
                <c:pt idx="7">
                  <c:v>12983300</c:v>
                </c:pt>
                <c:pt idx="8">
                  <c:v>14222800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FAE-4F90-B333-82506DF5B58D}"/>
            </c:ext>
          </c:extLst>
        </c:ser>
        <c:ser>
          <c:idx val="2"/>
          <c:order val="2"/>
          <c:tx>
            <c:strRef>
              <c:f>'Variasi GPM(pack) RMS'!$H$13</c:f>
              <c:strCache>
                <c:ptCount val="1"/>
                <c:pt idx="0">
                  <c:v>NH4OH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'Variasi GPM(pack) RMS'!$H$15:$H$23</c:f>
              <c:numCache>
                <c:formatCode>0%</c:formatCode>
                <c:ptCount val="9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</c:numCache>
            </c:numRef>
          </c:cat>
          <c:val>
            <c:numRef>
              <c:f>'Variasi GPM(pack) RMS'!$I$15:$I$23</c:f>
              <c:numCache>
                <c:formatCode>General</c:formatCode>
                <c:ptCount val="9"/>
                <c:pt idx="0">
                  <c:v>6729030</c:v>
                </c:pt>
                <c:pt idx="1">
                  <c:v>6757280</c:v>
                </c:pt>
                <c:pt idx="2">
                  <c:v>6785539.2000000002</c:v>
                </c:pt>
                <c:pt idx="3">
                  <c:v>6813790</c:v>
                </c:pt>
                <c:pt idx="4">
                  <c:v>6842050</c:v>
                </c:pt>
                <c:pt idx="5">
                  <c:v>6870310</c:v>
                </c:pt>
                <c:pt idx="6">
                  <c:v>6898560</c:v>
                </c:pt>
                <c:pt idx="7">
                  <c:v>6926820</c:v>
                </c:pt>
                <c:pt idx="8">
                  <c:v>6955070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FAE-4F90-B333-82506DF5B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338624"/>
        <c:axId val="1669335904"/>
      </c:lineChart>
      <c:catAx>
        <c:axId val="1669338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Sensitivity</a:t>
                </a:r>
                <a:r>
                  <a:rPr lang="en-US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(%)</a:t>
                </a:r>
                <a:endParaRPr lang="en-US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335904"/>
        <c:crosses val="autoZero"/>
        <c:auto val="1"/>
        <c:lblAlgn val="ctr"/>
        <c:lblOffset val="100"/>
        <c:noMultiLvlLbl val="0"/>
      </c:catAx>
      <c:valAx>
        <c:axId val="166933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GPM (USD)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33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Penjualan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'Variasi Nilai PI'!$A$12:$A$20</c:f>
              <c:numCache>
                <c:formatCode>0%</c:formatCode>
                <c:ptCount val="9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</c:numCache>
            </c:numRef>
          </c:cat>
          <c:val>
            <c:numRef>
              <c:f>'Variasi Nilai PI'!$B$12:$B$20</c:f>
              <c:numCache>
                <c:formatCode>0%</c:formatCode>
                <c:ptCount val="9"/>
                <c:pt idx="0">
                  <c:v>-1.9599999999999999E-2</c:v>
                </c:pt>
                <c:pt idx="1">
                  <c:v>-9.1999999999999998E-3</c:v>
                </c:pt>
                <c:pt idx="2">
                  <c:v>4.0000000000000002E-4</c:v>
                </c:pt>
                <c:pt idx="3">
                  <c:v>3.5999999999999999E-3</c:v>
                </c:pt>
                <c:pt idx="4">
                  <c:v>5.1999999999999998E-3</c:v>
                </c:pt>
                <c:pt idx="5">
                  <c:v>6.1999999999999998E-3</c:v>
                </c:pt>
                <c:pt idx="6">
                  <c:v>6.7999999999999996E-3</c:v>
                </c:pt>
                <c:pt idx="7">
                  <c:v>7.3000000000000001E-3</c:v>
                </c:pt>
                <c:pt idx="8">
                  <c:v>7.6E-3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D22-4DEA-8FA9-B4E198344C35}"/>
            </c:ext>
          </c:extLst>
        </c:ser>
        <c:ser>
          <c:idx val="1"/>
          <c:order val="1"/>
          <c:tx>
            <c:v>Bahan Baku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'Variasi Nilai PI'!$A$12:$A$20</c:f>
              <c:numCache>
                <c:formatCode>0%</c:formatCode>
                <c:ptCount val="9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</c:numCache>
            </c:numRef>
          </c:cat>
          <c:val>
            <c:numRef>
              <c:f>'Variasi Nilai PI'!$C$12:$C$20</c:f>
              <c:numCache>
                <c:formatCode>0%</c:formatCode>
                <c:ptCount val="9"/>
                <c:pt idx="0">
                  <c:v>8.9999999999999993E-3</c:v>
                </c:pt>
                <c:pt idx="1">
                  <c:v>4.7000000000000002E-3</c:v>
                </c:pt>
                <c:pt idx="2">
                  <c:v>4.0000000000000002E-4</c:v>
                </c:pt>
                <c:pt idx="3">
                  <c:v>-3.8999999999999998E-3</c:v>
                </c:pt>
                <c:pt idx="4">
                  <c:v>-8.2000000000000007E-3</c:v>
                </c:pt>
                <c:pt idx="5">
                  <c:v>-1.2500000000000001E-2</c:v>
                </c:pt>
                <c:pt idx="6">
                  <c:v>-1.6799999999999999E-2</c:v>
                </c:pt>
                <c:pt idx="7">
                  <c:v>-2.1100000000000001E-2</c:v>
                </c:pt>
                <c:pt idx="8">
                  <c:v>-2.5399999999999999E-2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D22-4DEA-8FA9-B4E198344C35}"/>
            </c:ext>
          </c:extLst>
        </c:ser>
        <c:ser>
          <c:idx val="2"/>
          <c:order val="2"/>
          <c:tx>
            <c:v>Utilitas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'Variasi Nilai PI'!$A$12:$A$20</c:f>
              <c:numCache>
                <c:formatCode>0%</c:formatCode>
                <c:ptCount val="9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</c:numCache>
            </c:numRef>
          </c:cat>
          <c:val>
            <c:numRef>
              <c:f>'Variasi Nilai PI'!$D$12:$D$20</c:f>
              <c:numCache>
                <c:formatCode>0%</c:formatCode>
                <c:ptCount val="9"/>
                <c:pt idx="0">
                  <c:v>4.0000000000000002E-4</c:v>
                </c:pt>
                <c:pt idx="1">
                  <c:v>4.0000000000000002E-4</c:v>
                </c:pt>
                <c:pt idx="2">
                  <c:v>4.0000000000000002E-4</c:v>
                </c:pt>
                <c:pt idx="3">
                  <c:v>4.0000000000000002E-4</c:v>
                </c:pt>
                <c:pt idx="4">
                  <c:v>4.0000000000000002E-4</c:v>
                </c:pt>
                <c:pt idx="5">
                  <c:v>4.0000000000000002E-4</c:v>
                </c:pt>
                <c:pt idx="6">
                  <c:v>4.0000000000000002E-4</c:v>
                </c:pt>
                <c:pt idx="7">
                  <c:v>4.0000000000000002E-4</c:v>
                </c:pt>
                <c:pt idx="8">
                  <c:v>4.0000000000000002E-4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D22-4DEA-8FA9-B4E198344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340256"/>
        <c:axId val="1669339712"/>
      </c:lineChart>
      <c:catAx>
        <c:axId val="1669340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Sensitivitas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339712"/>
        <c:crosses val="autoZero"/>
        <c:auto val="1"/>
        <c:lblAlgn val="ctr"/>
        <c:lblOffset val="100"/>
        <c:noMultiLvlLbl val="0"/>
      </c:catAx>
      <c:valAx>
        <c:axId val="166933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700" b="0" i="0" cap="all" baseline="0">
                    <a:effectLst/>
                  </a:rPr>
                  <a:t>Kenuntungan pi untuk penjualan</a:t>
                </a:r>
                <a:endParaRPr lang="en-US" sz="1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34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Sales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'Variasi Nilai PI'!$G$13:$G$21</c:f>
              <c:numCache>
                <c:formatCode>0%</c:formatCode>
                <c:ptCount val="9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</c:numCache>
            </c:numRef>
          </c:cat>
          <c:val>
            <c:numRef>
              <c:f>'Variasi Nilai PI'!$H$13:$H$21</c:f>
              <c:numCache>
                <c:formatCode>0%</c:formatCode>
                <c:ptCount val="9"/>
                <c:pt idx="0">
                  <c:v>0.08</c:v>
                </c:pt>
                <c:pt idx="1">
                  <c:v>0.08</c:v>
                </c:pt>
                <c:pt idx="2">
                  <c:v>0.08</c:v>
                </c:pt>
                <c:pt idx="3">
                  <c:v>0.08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53D-412B-A609-847F53B6B1A0}"/>
            </c:ext>
          </c:extLst>
        </c:ser>
        <c:ser>
          <c:idx val="1"/>
          <c:order val="1"/>
          <c:tx>
            <c:v>Raw Materials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'Variasi Nilai PI'!$G$13:$G$21</c:f>
              <c:numCache>
                <c:formatCode>0%</c:formatCode>
                <c:ptCount val="9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</c:numCache>
            </c:numRef>
          </c:cat>
          <c:val>
            <c:numRef>
              <c:f>'Variasi Nilai PI'!$I$13:$I$21</c:f>
              <c:numCache>
                <c:formatCode>0%</c:formatCode>
                <c:ptCount val="9"/>
                <c:pt idx="0">
                  <c:v>1.071</c:v>
                </c:pt>
                <c:pt idx="1">
                  <c:v>0.55859999999999999</c:v>
                </c:pt>
                <c:pt idx="2">
                  <c:v>4.6199999999999998E-2</c:v>
                </c:pt>
                <c:pt idx="3">
                  <c:v>-0.4662</c:v>
                </c:pt>
                <c:pt idx="4">
                  <c:v>-0.97850000000000004</c:v>
                </c:pt>
                <c:pt idx="5">
                  <c:v>-1.4908999999999999</c:v>
                </c:pt>
                <c:pt idx="6">
                  <c:v>-2.0032999999999999</c:v>
                </c:pt>
                <c:pt idx="7">
                  <c:v>-2.5156999999999998</c:v>
                </c:pt>
                <c:pt idx="8">
                  <c:v>-3.0280999999999998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53D-412B-A609-847F53B6B1A0}"/>
            </c:ext>
          </c:extLst>
        </c:ser>
        <c:ser>
          <c:idx val="2"/>
          <c:order val="2"/>
          <c:tx>
            <c:v>Utility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'Variasi Nilai PI'!$G$13:$G$21</c:f>
              <c:numCache>
                <c:formatCode>0%</c:formatCode>
                <c:ptCount val="9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</c:numCache>
            </c:numRef>
          </c:cat>
          <c:val>
            <c:numRef>
              <c:f>'Variasi Nilai PI'!$J$13:$J$21</c:f>
              <c:numCache>
                <c:formatCode>0%</c:formatCode>
                <c:ptCount val="9"/>
                <c:pt idx="0">
                  <c:v>0.08</c:v>
                </c:pt>
                <c:pt idx="1">
                  <c:v>0.08</c:v>
                </c:pt>
                <c:pt idx="2">
                  <c:v>0.08</c:v>
                </c:pt>
                <c:pt idx="3">
                  <c:v>0.08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53D-412B-A609-847F53B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343520"/>
        <c:axId val="1669337536"/>
      </c:lineChart>
      <c:catAx>
        <c:axId val="1669343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Sensitivitas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337536"/>
        <c:crosses val="autoZero"/>
        <c:auto val="1"/>
        <c:lblAlgn val="ctr"/>
        <c:lblOffset val="100"/>
        <c:noMultiLvlLbl val="0"/>
      </c:catAx>
      <c:valAx>
        <c:axId val="166933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 i="0" cap="all" baseline="0">
                    <a:effectLst/>
                  </a:rPr>
                  <a:t>keuntungan pi untuk investasi</a:t>
                </a:r>
                <a:endParaRPr lang="en-US" sz="2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34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'Variasi Pajak'!$A$3</c:f>
              <c:strCache>
                <c:ptCount val="1"/>
                <c:pt idx="0">
                  <c:v>10%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'Variasi Pajak'!$B$2:$V$2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'Variasi Pajak'!$B$9:$V$9</c:f>
              <c:numCache>
                <c:formatCode>0.00</c:formatCode>
                <c:ptCount val="21"/>
                <c:pt idx="0" formatCode="General">
                  <c:v>0</c:v>
                </c:pt>
                <c:pt idx="1">
                  <c:v>-1.7635072000000002E-2</c:v>
                </c:pt>
                <c:pt idx="2">
                  <c:v>-2.9051948521739139E-2</c:v>
                </c:pt>
                <c:pt idx="3">
                  <c:v>20.862298647670542</c:v>
                </c:pt>
                <c:pt idx="4">
                  <c:v>39.028690470446449</c:v>
                </c:pt>
                <c:pt idx="5">
                  <c:v>54.825552925034181</c:v>
                </c:pt>
                <c:pt idx="6">
                  <c:v>68.561955059458313</c:v>
                </c:pt>
                <c:pt idx="7">
                  <c:v>80.506652567653205</c:v>
                </c:pt>
                <c:pt idx="8">
                  <c:v>90.893346053040077</c:v>
                </c:pt>
                <c:pt idx="9">
                  <c:v>99.925253431637358</c:v>
                </c:pt>
                <c:pt idx="10">
                  <c:v>107.77908593476543</c:v>
                </c:pt>
                <c:pt idx="11">
                  <c:v>114.60850550270285</c:v>
                </c:pt>
                <c:pt idx="12">
                  <c:v>120.54713121395281</c:v>
                </c:pt>
                <c:pt idx="13">
                  <c:v>125.71115357156147</c:v>
                </c:pt>
                <c:pt idx="14">
                  <c:v>130.201607795569</c:v>
                </c:pt>
                <c:pt idx="15">
                  <c:v>134.1063505990538</c:v>
                </c:pt>
                <c:pt idx="16">
                  <c:v>137.50177912382321</c:v>
                </c:pt>
                <c:pt idx="17">
                  <c:v>140.45432566710096</c:v>
                </c:pt>
                <c:pt idx="18">
                  <c:v>143.0217574438642</c:v>
                </c:pt>
                <c:pt idx="19">
                  <c:v>145.25430681496269</c:v>
                </c:pt>
                <c:pt idx="20">
                  <c:v>147.19565409417876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0-4F60-B442-AF1EE815B71B}"/>
            </c:ext>
          </c:extLst>
        </c:ser>
        <c:ser>
          <c:idx val="1"/>
          <c:order val="1"/>
          <c:tx>
            <c:strRef>
              <c:f>'Variasi Pajak'!$A$4</c:f>
              <c:strCache>
                <c:ptCount val="1"/>
                <c:pt idx="0">
                  <c:v>25%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'Variasi Pajak'!$B$2:$V$2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'Variasi Pajak'!$B$10:$V$10</c:f>
              <c:numCache>
                <c:formatCode>0.00</c:formatCode>
                <c:ptCount val="21"/>
                <c:pt idx="0" formatCode="General">
                  <c:v>0</c:v>
                </c:pt>
                <c:pt idx="1">
                  <c:v>-4.4087680000000004E-2</c:v>
                </c:pt>
                <c:pt idx="2">
                  <c:v>-7.2629871304347837E-2</c:v>
                </c:pt>
                <c:pt idx="3">
                  <c:v>52.155746619176355</c:v>
                </c:pt>
                <c:pt idx="4">
                  <c:v>97.571726176116115</c:v>
                </c:pt>
                <c:pt idx="5">
                  <c:v>137.06388231258546</c:v>
                </c:pt>
                <c:pt idx="6">
                  <c:v>171.40488764864577</c:v>
                </c:pt>
                <c:pt idx="7">
                  <c:v>201.26663141913301</c:v>
                </c:pt>
                <c:pt idx="8">
                  <c:v>227.23336513260017</c:v>
                </c:pt>
                <c:pt idx="9">
                  <c:v>249.81313357909335</c:v>
                </c:pt>
                <c:pt idx="10">
                  <c:v>269.44771483691352</c:v>
                </c:pt>
                <c:pt idx="11">
                  <c:v>286.52126375675715</c:v>
                </c:pt>
                <c:pt idx="12">
                  <c:v>301.367828034882</c:v>
                </c:pt>
                <c:pt idx="13">
                  <c:v>314.27788392890363</c:v>
                </c:pt>
                <c:pt idx="14">
                  <c:v>325.50401948892244</c:v>
                </c:pt>
                <c:pt idx="15">
                  <c:v>335.26587649763451</c:v>
                </c:pt>
                <c:pt idx="16">
                  <c:v>343.75444780955797</c:v>
                </c:pt>
                <c:pt idx="17">
                  <c:v>351.13581416775236</c:v>
                </c:pt>
                <c:pt idx="18">
                  <c:v>357.55439360966051</c:v>
                </c:pt>
                <c:pt idx="19">
                  <c:v>363.13576703740671</c:v>
                </c:pt>
                <c:pt idx="20">
                  <c:v>367.98913523544689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FC0-4F60-B442-AF1EE815B71B}"/>
            </c:ext>
          </c:extLst>
        </c:ser>
        <c:ser>
          <c:idx val="2"/>
          <c:order val="2"/>
          <c:tx>
            <c:strRef>
              <c:f>'Variasi Pajak'!$A$5</c:f>
              <c:strCache>
                <c:ptCount val="1"/>
                <c:pt idx="0">
                  <c:v>50%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'Variasi Pajak'!$B$2:$V$2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'Variasi Pajak'!$B$11:$V$11</c:f>
              <c:numCache>
                <c:formatCode>0.00</c:formatCode>
                <c:ptCount val="21"/>
                <c:pt idx="0" formatCode="General">
                  <c:v>0</c:v>
                </c:pt>
                <c:pt idx="1">
                  <c:v>-8.8175360000000008E-2</c:v>
                </c:pt>
                <c:pt idx="2">
                  <c:v>-0.14525974260869567</c:v>
                </c:pt>
                <c:pt idx="3">
                  <c:v>104.31149323835271</c:v>
                </c:pt>
                <c:pt idx="4">
                  <c:v>195.14345235223223</c:v>
                </c:pt>
                <c:pt idx="5">
                  <c:v>274.12776462517093</c:v>
                </c:pt>
                <c:pt idx="6">
                  <c:v>342.80977529729154</c:v>
                </c:pt>
                <c:pt idx="7">
                  <c:v>402.53326283826601</c:v>
                </c:pt>
                <c:pt idx="8">
                  <c:v>454.46673026520034</c:v>
                </c:pt>
                <c:pt idx="9">
                  <c:v>499.62626715818669</c:v>
                </c:pt>
                <c:pt idx="10">
                  <c:v>538.89542967382704</c:v>
                </c:pt>
                <c:pt idx="11">
                  <c:v>573.0425275135143</c:v>
                </c:pt>
                <c:pt idx="12">
                  <c:v>602.73565606976399</c:v>
                </c:pt>
                <c:pt idx="13">
                  <c:v>628.55576785780727</c:v>
                </c:pt>
                <c:pt idx="14">
                  <c:v>651.00803897784488</c:v>
                </c:pt>
                <c:pt idx="15">
                  <c:v>670.53175299526902</c:v>
                </c:pt>
                <c:pt idx="16">
                  <c:v>687.50889561911595</c:v>
                </c:pt>
                <c:pt idx="17">
                  <c:v>702.27162833550472</c:v>
                </c:pt>
                <c:pt idx="18">
                  <c:v>715.10878721932102</c:v>
                </c:pt>
                <c:pt idx="19">
                  <c:v>726.27153407481342</c:v>
                </c:pt>
                <c:pt idx="20">
                  <c:v>735.97827047089379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FC0-4F60-B442-AF1EE815B71B}"/>
            </c:ext>
          </c:extLst>
        </c:ser>
        <c:ser>
          <c:idx val="3"/>
          <c:order val="3"/>
          <c:tx>
            <c:strRef>
              <c:f>'Variasi Pajak'!$A$6</c:f>
              <c:strCache>
                <c:ptCount val="1"/>
                <c:pt idx="0">
                  <c:v>75%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'Variasi Pajak'!$B$2:$V$2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'Variasi Pajak'!$B$12:$V$12</c:f>
              <c:numCache>
                <c:formatCode>0.00</c:formatCode>
                <c:ptCount val="21"/>
                <c:pt idx="0" formatCode="General">
                  <c:v>0</c:v>
                </c:pt>
                <c:pt idx="1">
                  <c:v>-0.13226304000000003</c:v>
                </c:pt>
                <c:pt idx="2">
                  <c:v>-0.21788961391304351</c:v>
                </c:pt>
                <c:pt idx="3">
                  <c:v>156.46723985752908</c:v>
                </c:pt>
                <c:pt idx="4">
                  <c:v>292.71517852834836</c:v>
                </c:pt>
                <c:pt idx="5">
                  <c:v>411.19164693775639</c:v>
                </c:pt>
                <c:pt idx="6">
                  <c:v>514.21466294593722</c:v>
                </c:pt>
                <c:pt idx="7">
                  <c:v>603.79989425739893</c:v>
                </c:pt>
                <c:pt idx="8">
                  <c:v>681.70009539780051</c:v>
                </c:pt>
                <c:pt idx="9">
                  <c:v>749.43940073728004</c:v>
                </c:pt>
                <c:pt idx="10">
                  <c:v>808.34314451074056</c:v>
                </c:pt>
                <c:pt idx="11">
                  <c:v>859.56379127027128</c:v>
                </c:pt>
                <c:pt idx="12">
                  <c:v>904.10348410464599</c:v>
                </c:pt>
                <c:pt idx="13">
                  <c:v>942.83365178671102</c:v>
                </c:pt>
                <c:pt idx="14">
                  <c:v>976.51205846676737</c:v>
                </c:pt>
                <c:pt idx="15">
                  <c:v>1005.7976294929035</c:v>
                </c:pt>
                <c:pt idx="16">
                  <c:v>1031.263343428674</c:v>
                </c:pt>
                <c:pt idx="17">
                  <c:v>1053.407442503257</c:v>
                </c:pt>
                <c:pt idx="18">
                  <c:v>1072.6631808289815</c:v>
                </c:pt>
                <c:pt idx="19">
                  <c:v>1089.40730111222</c:v>
                </c:pt>
                <c:pt idx="20">
                  <c:v>1103.9674057063407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FC0-4F60-B442-AF1EE815B71B}"/>
            </c:ext>
          </c:extLst>
        </c:ser>
        <c:ser>
          <c:idx val="4"/>
          <c:order val="4"/>
          <c:tx>
            <c:strRef>
              <c:f>'Variasi Pajak'!$A$7</c:f>
              <c:strCache>
                <c:ptCount val="1"/>
                <c:pt idx="0">
                  <c:v>100%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'Variasi Pajak'!$B$2:$V$2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'Variasi Pajak'!$B$13:$V$13</c:f>
              <c:numCache>
                <c:formatCode>0.00</c:formatCode>
                <c:ptCount val="21"/>
                <c:pt idx="0" formatCode="General">
                  <c:v>0</c:v>
                </c:pt>
                <c:pt idx="1">
                  <c:v>-0.17635072000000002</c:v>
                </c:pt>
                <c:pt idx="2">
                  <c:v>-0.29051948521739135</c:v>
                </c:pt>
                <c:pt idx="3">
                  <c:v>208.62298647670542</c:v>
                </c:pt>
                <c:pt idx="4">
                  <c:v>390.28690470446446</c:v>
                </c:pt>
                <c:pt idx="5">
                  <c:v>548.25552925034185</c:v>
                </c:pt>
                <c:pt idx="6">
                  <c:v>685.61955059458307</c:v>
                </c:pt>
                <c:pt idx="7">
                  <c:v>805.06652567653202</c:v>
                </c:pt>
                <c:pt idx="8">
                  <c:v>908.93346053040068</c:v>
                </c:pt>
                <c:pt idx="9">
                  <c:v>999.25253431637339</c:v>
                </c:pt>
                <c:pt idx="10">
                  <c:v>1077.7908593476541</c:v>
                </c:pt>
                <c:pt idx="11">
                  <c:v>1146.0850550270286</c:v>
                </c:pt>
                <c:pt idx="12">
                  <c:v>1205.471312139528</c:v>
                </c:pt>
                <c:pt idx="13">
                  <c:v>1257.1115357156145</c:v>
                </c:pt>
                <c:pt idx="14">
                  <c:v>1302.0160779556898</c:v>
                </c:pt>
                <c:pt idx="15">
                  <c:v>1341.063505990538</c:v>
                </c:pt>
                <c:pt idx="16">
                  <c:v>1375.0177912382319</c:v>
                </c:pt>
                <c:pt idx="17">
                  <c:v>1404.5432566710094</c:v>
                </c:pt>
                <c:pt idx="18">
                  <c:v>1430.217574438642</c:v>
                </c:pt>
                <c:pt idx="19">
                  <c:v>1452.5430681496268</c:v>
                </c:pt>
                <c:pt idx="20">
                  <c:v>1471.9565409417876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BFC0-4F60-B442-AF1EE815B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345152"/>
        <c:axId val="1669345696"/>
      </c:scatterChart>
      <c:valAx>
        <c:axId val="1669345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Periode (Tahun)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345696"/>
        <c:crosses val="autoZero"/>
        <c:crossBetween val="midCat"/>
      </c:valAx>
      <c:valAx>
        <c:axId val="166934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cap="all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CNPV/TIC (%)</a:t>
                </a:r>
                <a:endParaRPr lang="en-US" sz="10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3451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'Variasi Variabel Cost'!$A$3</c:f>
              <c:strCache>
                <c:ptCount val="1"/>
                <c:pt idx="0">
                  <c:v>100%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'Variasi Variabel Cost'!$B$2:$V$2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'Variasi Variabel Cost'!$B$9:$V$9</c:f>
              <c:numCache>
                <c:formatCode>General</c:formatCode>
                <c:ptCount val="21"/>
                <c:pt idx="0">
                  <c:v>0</c:v>
                </c:pt>
                <c:pt idx="1">
                  <c:v>-5.9162941893539222E-3</c:v>
                </c:pt>
                <c:pt idx="2">
                  <c:v>-9.7464798685582051E-3</c:v>
                </c:pt>
                <c:pt idx="3">
                  <c:v>1.7474850126414036E-2</c:v>
                </c:pt>
                <c:pt idx="4">
                  <c:v>4.1145571861172507E-2</c:v>
                </c:pt>
                <c:pt idx="5">
                  <c:v>6.1728808152266834E-2</c:v>
                </c:pt>
                <c:pt idx="6">
                  <c:v>7.9627274492348854E-2</c:v>
                </c:pt>
                <c:pt idx="7">
                  <c:v>9.5191158266333245E-2</c:v>
                </c:pt>
                <c:pt idx="8">
                  <c:v>0.10872497024371096</c:v>
                </c:pt>
                <c:pt idx="9">
                  <c:v>0.12049350239795245</c:v>
                </c:pt>
                <c:pt idx="10">
                  <c:v>0.13072700861903203</c:v>
                </c:pt>
                <c:pt idx="11">
                  <c:v>0.13962570968084034</c:v>
                </c:pt>
                <c:pt idx="12">
                  <c:v>0.1473637106041519</c:v>
                </c:pt>
                <c:pt idx="13">
                  <c:v>0.15409240705920546</c:v>
                </c:pt>
                <c:pt idx="14">
                  <c:v>0.15994344745490419</c:v>
                </c:pt>
                <c:pt idx="15">
                  <c:v>0.16503130866855525</c:v>
                </c:pt>
                <c:pt idx="16">
                  <c:v>0.16945553581086056</c:v>
                </c:pt>
                <c:pt idx="17">
                  <c:v>0.17330268984764774</c:v>
                </c:pt>
                <c:pt idx="18">
                  <c:v>0.17664804118398444</c:v>
                </c:pt>
                <c:pt idx="19">
                  <c:v>0.17955704234601635</c:v>
                </c:pt>
                <c:pt idx="20">
                  <c:v>0.18208660857387021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F27-4807-AD01-3EB60FE12F7B}"/>
            </c:ext>
          </c:extLst>
        </c:ser>
        <c:ser>
          <c:idx val="1"/>
          <c:order val="1"/>
          <c:tx>
            <c:strRef>
              <c:f>'Variasi Variabel Cost'!$A$10</c:f>
              <c:strCache>
                <c:ptCount val="1"/>
                <c:pt idx="0">
                  <c:v>200%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'Variasi Variabel Cost'!$B$2:$V$2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'Variasi Variabel Cost'!$B$10:$V$10</c:f>
              <c:numCache>
                <c:formatCode>General</c:formatCode>
                <c:ptCount val="21"/>
                <c:pt idx="0">
                  <c:v>0</c:v>
                </c:pt>
                <c:pt idx="1">
                  <c:v>-5.9162941893539222E-3</c:v>
                </c:pt>
                <c:pt idx="2">
                  <c:v>-9.7464798685582051E-3</c:v>
                </c:pt>
                <c:pt idx="3">
                  <c:v>-0.66032323200064214</c:v>
                </c:pt>
                <c:pt idx="4">
                  <c:v>-1.2260421468981066</c:v>
                </c:pt>
                <c:pt idx="5">
                  <c:v>-1.7179716381132928</c:v>
                </c:pt>
                <c:pt idx="6">
                  <c:v>-2.1457364130830201</c:v>
                </c:pt>
                <c:pt idx="7">
                  <c:v>-2.5177057826219138</c:v>
                </c:pt>
                <c:pt idx="8">
                  <c:v>-2.8411574083079079</c:v>
                </c:pt>
                <c:pt idx="9">
                  <c:v>-3.1224196915131204</c:v>
                </c:pt>
                <c:pt idx="10">
                  <c:v>-3.366995589952436</c:v>
                </c:pt>
                <c:pt idx="11">
                  <c:v>-3.5796702842474923</c:v>
                </c:pt>
                <c:pt idx="12">
                  <c:v>-3.7646048010258033</c:v>
                </c:pt>
                <c:pt idx="13">
                  <c:v>-3.9254174243112896</c:v>
                </c:pt>
                <c:pt idx="14">
                  <c:v>-4.0652544880377999</c:v>
                </c:pt>
                <c:pt idx="15">
                  <c:v>-4.186851934756505</c:v>
                </c:pt>
                <c:pt idx="16">
                  <c:v>-4.2925888449466836</c:v>
                </c:pt>
                <c:pt idx="17">
                  <c:v>-4.3845339842424904</c:v>
                </c:pt>
                <c:pt idx="18">
                  <c:v>-4.4644862792823226</c:v>
                </c:pt>
                <c:pt idx="19">
                  <c:v>-4.5340100140995681</c:v>
                </c:pt>
                <c:pt idx="20">
                  <c:v>-4.5944654356797825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F27-4807-AD01-3EB60FE12F7B}"/>
            </c:ext>
          </c:extLst>
        </c:ser>
        <c:ser>
          <c:idx val="2"/>
          <c:order val="2"/>
          <c:tx>
            <c:strRef>
              <c:f>'Variasi Variabel Cost'!$A$11</c:f>
              <c:strCache>
                <c:ptCount val="1"/>
                <c:pt idx="0">
                  <c:v>300%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'Variasi Variabel Cost'!$B$2:$V$2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'Variasi Variabel Cost'!$B$11:$V$11</c:f>
              <c:numCache>
                <c:formatCode>General</c:formatCode>
                <c:ptCount val="21"/>
                <c:pt idx="0">
                  <c:v>0</c:v>
                </c:pt>
                <c:pt idx="1">
                  <c:v>-5.9162941893539222E-3</c:v>
                </c:pt>
                <c:pt idx="2">
                  <c:v>-9.7464798685582051E-3</c:v>
                </c:pt>
                <c:pt idx="3">
                  <c:v>-1.3381213141276984</c:v>
                </c:pt>
                <c:pt idx="4">
                  <c:v>-2.4932298656573861</c:v>
                </c:pt>
                <c:pt idx="5">
                  <c:v>-3.4976720843788529</c:v>
                </c:pt>
                <c:pt idx="6">
                  <c:v>-4.3711001006583894</c:v>
                </c:pt>
                <c:pt idx="7">
                  <c:v>-5.1306027235101617</c:v>
                </c:pt>
                <c:pt idx="8">
                  <c:v>-5.7910397868595274</c:v>
                </c:pt>
                <c:pt idx="9">
                  <c:v>-6.365332885424194</c:v>
                </c:pt>
                <c:pt idx="10">
                  <c:v>-6.8647181885239039</c:v>
                </c:pt>
                <c:pt idx="11">
                  <c:v>-7.2989662781758247</c:v>
                </c:pt>
                <c:pt idx="12">
                  <c:v>-7.6765733126557576</c:v>
                </c:pt>
                <c:pt idx="13">
                  <c:v>-8.0049272556817854</c:v>
                </c:pt>
                <c:pt idx="14">
                  <c:v>-8.290452423530505</c:v>
                </c:pt>
                <c:pt idx="15">
                  <c:v>-8.5387351781815664</c:v>
                </c:pt>
                <c:pt idx="16">
                  <c:v>-8.7546332257042287</c:v>
                </c:pt>
                <c:pt idx="17">
                  <c:v>-8.9423706583326297</c:v>
                </c:pt>
                <c:pt idx="18">
                  <c:v>-9.1056205997486295</c:v>
                </c:pt>
                <c:pt idx="19">
                  <c:v>-9.2475770705451534</c:v>
                </c:pt>
                <c:pt idx="20">
                  <c:v>-9.3710174799334354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F27-4807-AD01-3EB60FE12F7B}"/>
            </c:ext>
          </c:extLst>
        </c:ser>
        <c:ser>
          <c:idx val="3"/>
          <c:order val="3"/>
          <c:tx>
            <c:strRef>
              <c:f>'Variasi Variabel Cost'!$A$12</c:f>
              <c:strCache>
                <c:ptCount val="1"/>
                <c:pt idx="0">
                  <c:v>400%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'Variasi Variabel Cost'!$B$2:$V$2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'Variasi Variabel Cost'!$B$12:$V$12</c:f>
              <c:numCache>
                <c:formatCode>General</c:formatCode>
                <c:ptCount val="21"/>
                <c:pt idx="0">
                  <c:v>0</c:v>
                </c:pt>
                <c:pt idx="1">
                  <c:v>-5.9162941893539222E-3</c:v>
                </c:pt>
                <c:pt idx="2">
                  <c:v>-9.7464798685582051E-3</c:v>
                </c:pt>
                <c:pt idx="3">
                  <c:v>-2.0159193962547546</c:v>
                </c:pt>
                <c:pt idx="4">
                  <c:v>-3.7604175844166643</c:v>
                </c:pt>
                <c:pt idx="5">
                  <c:v>-5.2773725306444126</c:v>
                </c:pt>
                <c:pt idx="6">
                  <c:v>-6.5964637882337591</c:v>
                </c:pt>
                <c:pt idx="7">
                  <c:v>-7.7434996643984082</c:v>
                </c:pt>
                <c:pt idx="8">
                  <c:v>-8.7409221654111473</c:v>
                </c:pt>
                <c:pt idx="9">
                  <c:v>-9.6082460793352666</c:v>
                </c:pt>
                <c:pt idx="10">
                  <c:v>-10.362440787095373</c:v>
                </c:pt>
                <c:pt idx="11">
                  <c:v>-11.01826227210416</c:v>
                </c:pt>
                <c:pt idx="12">
                  <c:v>-11.588541824285713</c:v>
                </c:pt>
                <c:pt idx="13">
                  <c:v>-12.084437087052283</c:v>
                </c:pt>
                <c:pt idx="14">
                  <c:v>-12.515650359023212</c:v>
                </c:pt>
                <c:pt idx="15">
                  <c:v>-12.89061842160663</c:v>
                </c:pt>
                <c:pt idx="16">
                  <c:v>-13.216677606461776</c:v>
                </c:pt>
                <c:pt idx="17">
                  <c:v>-13.50020733242277</c:v>
                </c:pt>
                <c:pt idx="18">
                  <c:v>-13.746754920214942</c:v>
                </c:pt>
                <c:pt idx="19">
                  <c:v>-13.961144126990739</c:v>
                </c:pt>
                <c:pt idx="20">
                  <c:v>-14.147569524187087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F27-4807-AD01-3EB60FE12F7B}"/>
            </c:ext>
          </c:extLst>
        </c:ser>
        <c:ser>
          <c:idx val="4"/>
          <c:order val="4"/>
          <c:tx>
            <c:strRef>
              <c:f>'Variasi Variabel Cost'!$A$13</c:f>
              <c:strCache>
                <c:ptCount val="1"/>
                <c:pt idx="0">
                  <c:v>500%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'Variasi Variabel Cost'!$B$2:$V$2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'Variasi Variabel Cost'!$B$13:$V$13</c:f>
              <c:numCache>
                <c:formatCode>General</c:formatCode>
                <c:ptCount val="21"/>
                <c:pt idx="0">
                  <c:v>0</c:v>
                </c:pt>
                <c:pt idx="1">
                  <c:v>-5.9162941893539222E-3</c:v>
                </c:pt>
                <c:pt idx="2">
                  <c:v>-9.7464798685582051E-3</c:v>
                </c:pt>
                <c:pt idx="3">
                  <c:v>-2.693717478381811</c:v>
                </c:pt>
                <c:pt idx="4">
                  <c:v>-5.0276053031759433</c:v>
                </c:pt>
                <c:pt idx="5">
                  <c:v>-7.0570729769099731</c:v>
                </c:pt>
                <c:pt idx="6">
                  <c:v>-8.821827475809128</c:v>
                </c:pt>
                <c:pt idx="7">
                  <c:v>-10.356396605286655</c:v>
                </c:pt>
                <c:pt idx="8">
                  <c:v>-11.690804543962765</c:v>
                </c:pt>
                <c:pt idx="9">
                  <c:v>-12.851159273246342</c:v>
                </c:pt>
                <c:pt idx="10">
                  <c:v>-13.860163385666842</c:v>
                </c:pt>
                <c:pt idx="11">
                  <c:v>-14.737558266032496</c:v>
                </c:pt>
                <c:pt idx="12">
                  <c:v>-15.500510335915669</c:v>
                </c:pt>
                <c:pt idx="13">
                  <c:v>-16.163946918422781</c:v>
                </c:pt>
                <c:pt idx="14">
                  <c:v>-16.740848294515917</c:v>
                </c:pt>
                <c:pt idx="15">
                  <c:v>-17.242501665031693</c:v>
                </c:pt>
                <c:pt idx="16">
                  <c:v>-17.678721987219319</c:v>
                </c:pt>
                <c:pt idx="17">
                  <c:v>-18.058044006512908</c:v>
                </c:pt>
                <c:pt idx="18">
                  <c:v>-18.38788924068125</c:v>
                </c:pt>
                <c:pt idx="19">
                  <c:v>-18.674711183436326</c:v>
                </c:pt>
                <c:pt idx="20">
                  <c:v>-18.924121568440743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F27-4807-AD01-3EB60FE12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333728"/>
        <c:axId val="1669346784"/>
      </c:scatterChart>
      <c:valAx>
        <c:axId val="166933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cap="all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periode (tahun)</a:t>
                </a:r>
                <a:endParaRPr lang="en-US" sz="10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346784"/>
        <c:crosses val="autoZero"/>
        <c:crossBetween val="midCat"/>
      </c:valAx>
      <c:valAx>
        <c:axId val="166934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cap="all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cnpv/tic (%)</a:t>
                </a:r>
                <a:endParaRPr lang="en-US" sz="4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3337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276225</xdr:colOff>
      <xdr:row>27</xdr:row>
      <xdr:rowOff>47625</xdr:rowOff>
    </xdr:from>
    <xdr:to>
      <xdr:col>13</xdr:col>
      <xdr:colOff>609600</xdr:colOff>
      <xdr:row>41</xdr:row>
      <xdr:rowOff>123825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24</xdr:row>
      <xdr:rowOff>180975</xdr:rowOff>
    </xdr:from>
    <xdr:to>
      <xdr:col>7</xdr:col>
      <xdr:colOff>2362200</xdr:colOff>
      <xdr:row>39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24</xdr:row>
      <xdr:rowOff>180975</xdr:rowOff>
    </xdr:from>
    <xdr:to>
      <xdr:col>5</xdr:col>
      <xdr:colOff>466725</xdr:colOff>
      <xdr:row>39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428625</xdr:colOff>
      <xdr:row>25</xdr:row>
      <xdr:rowOff>76200</xdr:rowOff>
    </xdr:from>
    <xdr:to>
      <xdr:col>13</xdr:col>
      <xdr:colOff>523875</xdr:colOff>
      <xdr:row>39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1419225</xdr:colOff>
      <xdr:row>14</xdr:row>
      <xdr:rowOff>28575</xdr:rowOff>
    </xdr:from>
    <xdr:to>
      <xdr:col>8</xdr:col>
      <xdr:colOff>276225</xdr:colOff>
      <xdr:row>28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14</xdr:row>
      <xdr:rowOff>171450</xdr:rowOff>
    </xdr:from>
    <xdr:to>
      <xdr:col>7</xdr:col>
      <xdr:colOff>361950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okopedia.com/planetkimia/besi-ii-chloride-tetrahidrat-fecl2-4h2o-pro-analisa-per-gram-100-gram?extParam=ivf%3Dfalse%26src%3Dsearch" TargetMode="External"/><Relationship Id="rId3" Type="http://schemas.openxmlformats.org/officeDocument/2006/relationships/hyperlink" Target="https://www.tokopedia.com/gadingdiesel/pompa-air-tipe-dab-db-125?extParam=ivf%3Dfalse&amp;src=topads" TargetMode="External"/><Relationship Id="rId7" Type="http://schemas.openxmlformats.org/officeDocument/2006/relationships/hyperlink" Target="https://www.tokopedia.com/planetkimia/besi-iii-chloride-heksahidrat-fecl3-6h2o-pro-analisa-per-gram-5-gram?extParam=ivf%3Dfalse%26src%3Dsearch" TargetMode="External"/><Relationship Id="rId2" Type="http://schemas.openxmlformats.org/officeDocument/2006/relationships/hyperlink" Target="https://www.tokopedia.com/suksesjayateknik/tjap-mata-pengaduk-cat-60-x-400-mm-tongkat-mixer-semen?extParam=ivf%3Dfalse&amp;src=topads" TargetMode="External"/><Relationship Id="rId1" Type="http://schemas.openxmlformats.org/officeDocument/2006/relationships/hyperlink" Target="https://www.tokopedia.com/bazarbangunan/tangki-tandon-toren-air-water-tank-alco-500-liter-ltr-l-orange?extParam=ivf%3Dfalse%26src%3Dsearch" TargetMode="External"/><Relationship Id="rId6" Type="http://schemas.openxmlformats.org/officeDocument/2006/relationships/hyperlink" Target="https://www.tokopedia.com/hortilaptop/cetakan-roti-ring-roti-oval-cetakan-stenlis-11-cm?extParam=ivf%3Dfalse&amp;src=topads" TargetMode="External"/><Relationship Id="rId5" Type="http://schemas.openxmlformats.org/officeDocument/2006/relationships/hyperlink" Target="https://www.tokopedia.com/yangpentinghalal/electrically-heated-freeze-dry-machine-intermittent-ordinary-freeze?extParam=ivf%3Dfalse%26src%3Dsearch" TargetMode="External"/><Relationship Id="rId4" Type="http://schemas.openxmlformats.org/officeDocument/2006/relationships/hyperlink" Target="https://www.tokopedia.com/diamond87/frp-tank-1054-tabung-media-1054-tangki-filter-1054?extParam=ivf%3Dfalse%26src%3Dsearch" TargetMode="External"/><Relationship Id="rId9" Type="http://schemas.openxmlformats.org/officeDocument/2006/relationships/hyperlink" Target="https://www.tokopedia.com/ruzpackofficialstore/12x22cm-zipper-bag-frosted-pouch-mika-plastik-baju-travel-ziplock?extParam=ivf%3Dfalse%26src%3Dsearch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A28" sqref="A28"/>
    </sheetView>
  </sheetViews>
  <sheetFormatPr defaultRowHeight="15" x14ac:dyDescent="0.25"/>
  <cols>
    <col min="2" max="2" width="8.42578125" bestFit="1" customWidth="1"/>
    <col min="4" max="4" width="14" bestFit="1" customWidth="1"/>
  </cols>
  <sheetData>
    <row r="1" spans="1:11" x14ac:dyDescent="0.25">
      <c r="A1" t="s">
        <v>7</v>
      </c>
      <c r="D1">
        <v>8</v>
      </c>
      <c r="E1">
        <v>8</v>
      </c>
    </row>
    <row r="2" spans="1:11" x14ac:dyDescent="0.25">
      <c r="A2" t="s">
        <v>9</v>
      </c>
      <c r="B2" t="s">
        <v>8</v>
      </c>
      <c r="D2" t="s">
        <v>238</v>
      </c>
      <c r="K2" s="101" t="s">
        <v>268</v>
      </c>
    </row>
    <row r="3" spans="1:11" x14ac:dyDescent="0.25">
      <c r="A3" t="s">
        <v>10</v>
      </c>
      <c r="B3" t="s">
        <v>11</v>
      </c>
      <c r="C3" t="s">
        <v>236</v>
      </c>
      <c r="D3">
        <v>16</v>
      </c>
      <c r="E3">
        <v>8</v>
      </c>
      <c r="F3">
        <v>64</v>
      </c>
      <c r="G3">
        <v>8</v>
      </c>
      <c r="K3" t="s">
        <v>269</v>
      </c>
    </row>
    <row r="4" spans="1:11" x14ac:dyDescent="0.25">
      <c r="A4" t="s">
        <v>12</v>
      </c>
      <c r="B4" t="s">
        <v>13</v>
      </c>
      <c r="C4" t="s">
        <v>237</v>
      </c>
    </row>
    <row r="5" spans="1:11" x14ac:dyDescent="0.25">
      <c r="A5" t="s">
        <v>14</v>
      </c>
      <c r="B5" t="s">
        <v>15</v>
      </c>
      <c r="C5" t="s">
        <v>16</v>
      </c>
      <c r="K5" t="s">
        <v>239</v>
      </c>
    </row>
    <row r="6" spans="1:11" x14ac:dyDescent="0.25">
      <c r="K6" t="s">
        <v>240</v>
      </c>
    </row>
    <row r="7" spans="1:11" x14ac:dyDescent="0.25">
      <c r="K7" t="s">
        <v>270</v>
      </c>
    </row>
    <row r="8" spans="1:11" x14ac:dyDescent="0.25">
      <c r="A8" t="s">
        <v>17</v>
      </c>
    </row>
    <row r="9" spans="1:11" x14ac:dyDescent="0.25">
      <c r="A9" t="s">
        <v>18</v>
      </c>
    </row>
    <row r="10" spans="1:11" x14ac:dyDescent="0.25">
      <c r="A10" t="s">
        <v>241</v>
      </c>
    </row>
    <row r="12" spans="1:11" x14ac:dyDescent="0.25">
      <c r="A12" t="s">
        <v>22</v>
      </c>
    </row>
    <row r="13" spans="1:11" x14ac:dyDescent="0.25">
      <c r="A13" s="2" t="s">
        <v>19</v>
      </c>
      <c r="B13" s="2" t="s">
        <v>20</v>
      </c>
      <c r="C13" s="2" t="s">
        <v>21</v>
      </c>
      <c r="D13" s="2" t="s">
        <v>23</v>
      </c>
    </row>
    <row r="14" spans="1:11" x14ac:dyDescent="0.25">
      <c r="A14" s="2">
        <v>11</v>
      </c>
      <c r="B14" s="2">
        <v>7</v>
      </c>
      <c r="C14" s="2">
        <v>3</v>
      </c>
      <c r="D14" s="2">
        <f>A14*B14*C14</f>
        <v>231</v>
      </c>
    </row>
    <row r="16" spans="1:11" x14ac:dyDescent="0.25">
      <c r="A16" t="s">
        <v>25</v>
      </c>
    </row>
    <row r="17" spans="1:2" x14ac:dyDescent="0.25">
      <c r="A17" s="2" t="s">
        <v>27</v>
      </c>
      <c r="B17" s="2" t="s">
        <v>26</v>
      </c>
    </row>
    <row r="18" spans="1:2" x14ac:dyDescent="0.25">
      <c r="A18" s="2">
        <v>1</v>
      </c>
      <c r="B18" s="2">
        <v>1E-3</v>
      </c>
    </row>
    <row r="19" spans="1:2" x14ac:dyDescent="0.25">
      <c r="A19" s="2">
        <v>231</v>
      </c>
      <c r="B19" s="2">
        <f>B18*A19</f>
        <v>0.23100000000000001</v>
      </c>
    </row>
    <row r="21" spans="1:2" x14ac:dyDescent="0.25">
      <c r="A21" t="s">
        <v>242</v>
      </c>
    </row>
    <row r="22" spans="1:2" x14ac:dyDescent="0.25">
      <c r="A22" s="2" t="s">
        <v>24</v>
      </c>
      <c r="B22" s="2" t="s">
        <v>28</v>
      </c>
    </row>
    <row r="23" spans="1:2" x14ac:dyDescent="0.25">
      <c r="A23" s="2">
        <v>0.23100000000000001</v>
      </c>
      <c r="B23" s="2">
        <v>1</v>
      </c>
    </row>
    <row r="24" spans="1:2" x14ac:dyDescent="0.25">
      <c r="A24" s="2">
        <v>15</v>
      </c>
      <c r="B24" s="102">
        <f>A24/A23</f>
        <v>64.935064935064929</v>
      </c>
    </row>
    <row r="25" spans="1:2" x14ac:dyDescent="0.25">
      <c r="A25" s="2">
        <v>225</v>
      </c>
      <c r="B25" s="3">
        <v>974.02599999999995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24" workbookViewId="0">
      <selection activeCell="G43" sqref="G43"/>
    </sheetView>
  </sheetViews>
  <sheetFormatPr defaultRowHeight="15" x14ac:dyDescent="0.25"/>
  <cols>
    <col min="1" max="1" width="16.85546875" bestFit="1" customWidth="1"/>
    <col min="2" max="2" width="15.42578125" customWidth="1"/>
    <col min="3" max="3" width="16.7109375" bestFit="1" customWidth="1"/>
    <col min="4" max="4" width="9.5703125" bestFit="1" customWidth="1"/>
    <col min="9" max="9" width="12.28515625" bestFit="1" customWidth="1"/>
  </cols>
  <sheetData>
    <row r="1" spans="1:11" x14ac:dyDescent="0.25">
      <c r="B1" t="s">
        <v>227</v>
      </c>
    </row>
    <row r="2" spans="1:11" x14ac:dyDescent="0.25">
      <c r="A2" s="91" t="s">
        <v>142</v>
      </c>
      <c r="B2">
        <v>45738000</v>
      </c>
    </row>
    <row r="3" spans="1:11" x14ac:dyDescent="0.25">
      <c r="A3" s="91" t="s">
        <v>224</v>
      </c>
      <c r="B3">
        <v>42207581.329999998</v>
      </c>
    </row>
    <row r="4" spans="1:11" x14ac:dyDescent="0.25">
      <c r="A4" s="91" t="s">
        <v>191</v>
      </c>
      <c r="B4">
        <v>14524.725700000003</v>
      </c>
    </row>
    <row r="5" spans="1:11" x14ac:dyDescent="0.25">
      <c r="A5" s="91" t="s">
        <v>192</v>
      </c>
      <c r="B5">
        <v>3530418.67</v>
      </c>
    </row>
    <row r="6" spans="1:11" x14ac:dyDescent="0.25">
      <c r="A6" s="91" t="s">
        <v>193</v>
      </c>
      <c r="B6" s="93">
        <f>(B2-B3)/B2</f>
        <v>7.7187867200139967E-2</v>
      </c>
    </row>
    <row r="7" spans="1:11" x14ac:dyDescent="0.25">
      <c r="A7" s="91" t="s">
        <v>225</v>
      </c>
      <c r="B7" s="93">
        <f>(B2-B3)/B4</f>
        <v>243.06267415432163</v>
      </c>
    </row>
    <row r="10" spans="1:11" x14ac:dyDescent="0.25">
      <c r="B10" s="94" t="s">
        <v>226</v>
      </c>
      <c r="G10" s="91"/>
      <c r="H10" s="91"/>
      <c r="I10" s="91"/>
      <c r="J10" s="91"/>
      <c r="K10" s="91"/>
    </row>
    <row r="11" spans="1:11" x14ac:dyDescent="0.25">
      <c r="A11" s="94" t="s">
        <v>228</v>
      </c>
      <c r="B11" s="95" t="s">
        <v>196</v>
      </c>
      <c r="C11" s="91" t="s">
        <v>127</v>
      </c>
      <c r="D11" s="91" t="s">
        <v>230</v>
      </c>
      <c r="E11" s="94"/>
      <c r="G11" s="91"/>
      <c r="H11" s="94" t="s">
        <v>231</v>
      </c>
      <c r="I11" s="91"/>
      <c r="J11" s="91"/>
      <c r="K11" s="91"/>
    </row>
    <row r="12" spans="1:11" x14ac:dyDescent="0.25">
      <c r="A12" s="90">
        <v>-1</v>
      </c>
      <c r="B12" s="96">
        <v>-1.9599999999999999E-2</v>
      </c>
      <c r="C12" s="96">
        <v>8.9999999999999993E-3</v>
      </c>
      <c r="D12" s="96">
        <v>4.0000000000000002E-4</v>
      </c>
      <c r="E12" s="96"/>
      <c r="G12" s="94" t="s">
        <v>228</v>
      </c>
      <c r="H12" s="95" t="s">
        <v>196</v>
      </c>
      <c r="I12" s="94" t="s">
        <v>229</v>
      </c>
      <c r="J12" s="94" t="s">
        <v>230</v>
      </c>
      <c r="K12" s="94"/>
    </row>
    <row r="13" spans="1:11" x14ac:dyDescent="0.25">
      <c r="A13" s="90">
        <v>-0.5</v>
      </c>
      <c r="B13" s="96">
        <v>-9.1999999999999998E-3</v>
      </c>
      <c r="C13" s="96">
        <v>4.7000000000000002E-3</v>
      </c>
      <c r="D13" s="96">
        <v>4.0000000000000002E-4</v>
      </c>
      <c r="E13" s="96"/>
      <c r="G13" s="90">
        <v>-1</v>
      </c>
      <c r="H13" s="96">
        <v>0.08</v>
      </c>
      <c r="I13" s="96">
        <v>1.071</v>
      </c>
      <c r="J13" s="96">
        <v>0.08</v>
      </c>
      <c r="K13" s="96"/>
    </row>
    <row r="14" spans="1:11" x14ac:dyDescent="0.25">
      <c r="A14" s="90">
        <v>0</v>
      </c>
      <c r="B14" s="96">
        <v>4.0000000000000002E-4</v>
      </c>
      <c r="C14" s="96">
        <v>4.0000000000000002E-4</v>
      </c>
      <c r="D14" s="96">
        <v>4.0000000000000002E-4</v>
      </c>
      <c r="E14" s="96"/>
      <c r="G14" s="90">
        <v>-0.5</v>
      </c>
      <c r="H14" s="96">
        <v>0.08</v>
      </c>
      <c r="I14" s="96">
        <v>0.55859999999999999</v>
      </c>
      <c r="J14" s="96">
        <v>0.08</v>
      </c>
      <c r="K14" s="96"/>
    </row>
    <row r="15" spans="1:11" x14ac:dyDescent="0.25">
      <c r="A15" s="90">
        <v>0.5</v>
      </c>
      <c r="B15" s="96">
        <v>3.5999999999999999E-3</v>
      </c>
      <c r="C15" s="96">
        <v>-3.8999999999999998E-3</v>
      </c>
      <c r="D15" s="96">
        <v>4.0000000000000002E-4</v>
      </c>
      <c r="E15" s="96"/>
      <c r="G15" s="90">
        <v>0</v>
      </c>
      <c r="H15" s="96">
        <v>0.08</v>
      </c>
      <c r="I15" s="96">
        <v>4.6199999999999998E-2</v>
      </c>
      <c r="J15" s="96">
        <v>0.08</v>
      </c>
      <c r="K15" s="96"/>
    </row>
    <row r="16" spans="1:11" x14ac:dyDescent="0.25">
      <c r="A16" s="90">
        <v>1</v>
      </c>
      <c r="B16" s="96">
        <v>5.1999999999999998E-3</v>
      </c>
      <c r="C16" s="96">
        <v>-8.2000000000000007E-3</v>
      </c>
      <c r="D16" s="96">
        <v>4.0000000000000002E-4</v>
      </c>
      <c r="E16" s="96"/>
      <c r="G16" s="90">
        <v>0.5</v>
      </c>
      <c r="H16" s="96">
        <v>0.08</v>
      </c>
      <c r="I16" s="96">
        <v>-0.4662</v>
      </c>
      <c r="J16" s="96">
        <v>0.08</v>
      </c>
      <c r="K16" s="96"/>
    </row>
    <row r="17" spans="1:11" x14ac:dyDescent="0.25">
      <c r="A17" s="90">
        <v>1.5</v>
      </c>
      <c r="B17" s="96">
        <v>6.1999999999999998E-3</v>
      </c>
      <c r="C17" s="96">
        <v>-1.2500000000000001E-2</v>
      </c>
      <c r="D17" s="98">
        <v>4.0000000000000002E-4</v>
      </c>
      <c r="E17" s="96"/>
      <c r="G17" s="90">
        <v>1</v>
      </c>
      <c r="H17" s="96">
        <v>0.08</v>
      </c>
      <c r="I17" s="96">
        <v>-0.97850000000000004</v>
      </c>
      <c r="J17" s="96">
        <v>0.08</v>
      </c>
      <c r="K17" s="96"/>
    </row>
    <row r="18" spans="1:11" x14ac:dyDescent="0.25">
      <c r="A18" s="90">
        <v>2</v>
      </c>
      <c r="B18" s="96">
        <v>6.7999999999999996E-3</v>
      </c>
      <c r="C18" s="96">
        <v>-1.6799999999999999E-2</v>
      </c>
      <c r="D18" s="96">
        <v>4.0000000000000002E-4</v>
      </c>
      <c r="E18" s="96"/>
      <c r="G18" s="90">
        <v>1.5</v>
      </c>
      <c r="H18" s="96">
        <v>0.08</v>
      </c>
      <c r="I18" s="96">
        <v>-1.4908999999999999</v>
      </c>
      <c r="J18" s="96">
        <v>0.08</v>
      </c>
      <c r="K18" s="96"/>
    </row>
    <row r="19" spans="1:11" x14ac:dyDescent="0.25">
      <c r="A19" s="90">
        <v>2.5</v>
      </c>
      <c r="B19" s="96">
        <v>7.3000000000000001E-3</v>
      </c>
      <c r="C19" s="96">
        <v>-2.1100000000000001E-2</v>
      </c>
      <c r="D19" s="96">
        <v>4.0000000000000002E-4</v>
      </c>
      <c r="E19" s="96"/>
      <c r="G19" s="90">
        <v>2</v>
      </c>
      <c r="H19" s="96">
        <v>0.08</v>
      </c>
      <c r="I19" s="96">
        <v>-2.0032999999999999</v>
      </c>
      <c r="J19" s="96">
        <v>0.08</v>
      </c>
      <c r="K19" s="96"/>
    </row>
    <row r="20" spans="1:11" x14ac:dyDescent="0.25">
      <c r="A20" s="90">
        <v>3</v>
      </c>
      <c r="B20" s="96">
        <v>7.6E-3</v>
      </c>
      <c r="C20" s="96">
        <v>-2.5399999999999999E-2</v>
      </c>
      <c r="D20" s="96">
        <v>4.0000000000000002E-4</v>
      </c>
      <c r="E20" s="96"/>
      <c r="G20" s="90">
        <v>2.5</v>
      </c>
      <c r="H20" s="96">
        <v>0.08</v>
      </c>
      <c r="I20" s="96">
        <v>-2.5156999999999998</v>
      </c>
      <c r="J20" s="96">
        <v>0.08</v>
      </c>
      <c r="K20" s="96"/>
    </row>
    <row r="21" spans="1:11" x14ac:dyDescent="0.25">
      <c r="G21" s="90">
        <v>3</v>
      </c>
      <c r="H21" s="96">
        <v>0.08</v>
      </c>
      <c r="I21" s="96">
        <v>-3.0280999999999998</v>
      </c>
      <c r="J21" s="96">
        <v>0.08</v>
      </c>
      <c r="K21" s="96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topLeftCell="A10" workbookViewId="0">
      <selection activeCell="V3" sqref="V3"/>
    </sheetView>
  </sheetViews>
  <sheetFormatPr defaultRowHeight="15" x14ac:dyDescent="0.25"/>
  <cols>
    <col min="1" max="1" width="21.7109375" bestFit="1" customWidth="1"/>
    <col min="3" max="3" width="9.28515625" bestFit="1" customWidth="1"/>
    <col min="4" max="4" width="10.28515625" bestFit="1" customWidth="1"/>
    <col min="5" max="7" width="12.140625" bestFit="1" customWidth="1"/>
    <col min="8" max="22" width="13.28515625" bestFit="1" customWidth="1"/>
  </cols>
  <sheetData>
    <row r="1" spans="1:22" x14ac:dyDescent="0.25">
      <c r="H1" t="s">
        <v>233</v>
      </c>
    </row>
    <row r="2" spans="1:22" x14ac:dyDescent="0.25">
      <c r="A2" t="s">
        <v>232</v>
      </c>
      <c r="B2">
        <v>0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</row>
    <row r="3" spans="1:22" x14ac:dyDescent="0.25">
      <c r="A3" s="99">
        <v>0.1</v>
      </c>
      <c r="B3">
        <f>$A$3*'CNPV, PVP, IRR'!B21</f>
        <v>0</v>
      </c>
      <c r="C3" s="93">
        <f>$A$3*'CNPV, PVP, IRR'!C21</f>
        <v>-176.35072000000002</v>
      </c>
      <c r="D3" s="93">
        <f>$A$3*'CNPV, PVP, IRR'!D21</f>
        <v>-290.51948521739138</v>
      </c>
      <c r="E3" s="113">
        <f>$A$3*'CNPV, PVP, IRR'!E21</f>
        <v>208622.98647670544</v>
      </c>
      <c r="F3" s="113">
        <f>$A$3*'CNPV, PVP, IRR'!F21</f>
        <v>390286.90470446448</v>
      </c>
      <c r="G3" s="113">
        <f>$A$3*'CNPV, PVP, IRR'!G21</f>
        <v>548255.52925034182</v>
      </c>
      <c r="H3" s="93">
        <f>$A$3*'CNPV, PVP, IRR'!H21</f>
        <v>685619.55059458315</v>
      </c>
      <c r="I3" s="93">
        <f>$A$3*'CNPV, PVP, IRR'!I21</f>
        <v>805066.52567653207</v>
      </c>
      <c r="J3" s="93">
        <f>$A$3*'CNPV, PVP, IRR'!J21</f>
        <v>908933.46053040074</v>
      </c>
      <c r="K3" s="93">
        <f>$A$3*'CNPV, PVP, IRR'!K21</f>
        <v>999252.53431637352</v>
      </c>
      <c r="L3" s="113">
        <f>$A$3*'CNPV, PVP, IRR'!L21</f>
        <v>1077790.8593476543</v>
      </c>
      <c r="M3" s="113">
        <f>$A$3*'CNPV, PVP, IRR'!M21</f>
        <v>1146085.0550270285</v>
      </c>
      <c r="N3" s="113">
        <f>$A$3*'CNPV, PVP, IRR'!N21</f>
        <v>1205471.3121395281</v>
      </c>
      <c r="O3" s="113">
        <f>$A$3*'CNPV, PVP, IRR'!O21</f>
        <v>1257111.5357156147</v>
      </c>
      <c r="P3" s="113">
        <f>$A$3*'CNPV, PVP, IRR'!P21</f>
        <v>1302016.07795569</v>
      </c>
      <c r="Q3" s="113">
        <f>$A$3*'CNPV, PVP, IRR'!Q21</f>
        <v>1341063.505990538</v>
      </c>
      <c r="R3" s="113">
        <f>$A$3*'CNPV, PVP, IRR'!R21</f>
        <v>1375017.7912382321</v>
      </c>
      <c r="S3" s="113">
        <f>$A$3*'CNPV, PVP, IRR'!S21</f>
        <v>1404543.2566710096</v>
      </c>
      <c r="T3" s="113">
        <f>$A$3*'CNPV, PVP, IRR'!T21</f>
        <v>1430217.574438642</v>
      </c>
      <c r="U3" s="113">
        <f>$A$3*'CNPV, PVP, IRR'!U21</f>
        <v>1452543.068149627</v>
      </c>
      <c r="V3" s="113">
        <f>$A$3*'CNPV, PVP, IRR'!V21</f>
        <v>1471956.5409417877</v>
      </c>
    </row>
    <row r="4" spans="1:22" x14ac:dyDescent="0.25">
      <c r="A4" s="99">
        <v>0.25</v>
      </c>
      <c r="B4">
        <f>$A$4*'CNPV, PVP, IRR'!B21</f>
        <v>0</v>
      </c>
      <c r="C4" s="93">
        <f>$A$4*'CNPV, PVP, IRR'!C21</f>
        <v>-440.87680000000006</v>
      </c>
      <c r="D4" s="93">
        <f>$A$4*'CNPV, PVP, IRR'!D21</f>
        <v>-726.29871304347841</v>
      </c>
      <c r="E4" s="93">
        <f>$A$4*'CNPV, PVP, IRR'!E21</f>
        <v>521557.46619176358</v>
      </c>
      <c r="F4" s="93">
        <f>$A$4*'CNPV, PVP, IRR'!F21</f>
        <v>975717.26176116115</v>
      </c>
      <c r="G4" s="93">
        <f>$A$4*'CNPV, PVP, IRR'!G21</f>
        <v>1370638.8231258546</v>
      </c>
      <c r="H4" s="113">
        <f>$A$4*'CNPV, PVP, IRR'!H21</f>
        <v>1714048.8764864577</v>
      </c>
      <c r="I4" s="113">
        <f>$A$4*'CNPV, PVP, IRR'!I21</f>
        <v>2012666.31419133</v>
      </c>
      <c r="J4" s="113">
        <f>$A$4*'CNPV, PVP, IRR'!J21</f>
        <v>2272333.6513260016</v>
      </c>
      <c r="K4" s="113">
        <f>$A$4*'CNPV, PVP, IRR'!K21</f>
        <v>2498131.3357909336</v>
      </c>
      <c r="L4" s="93">
        <f>$A$4*'CNPV, PVP, IRR'!L21</f>
        <v>2694477.1483691353</v>
      </c>
      <c r="M4" s="93">
        <f>$A$4*'CNPV, PVP, IRR'!M21</f>
        <v>2865212.6375675714</v>
      </c>
      <c r="N4" s="93">
        <f>$A$4*'CNPV, PVP, IRR'!N21</f>
        <v>3013678.2803488201</v>
      </c>
      <c r="O4" s="93">
        <f>$A$4*'CNPV, PVP, IRR'!O21</f>
        <v>3142778.8392890366</v>
      </c>
      <c r="P4" s="93">
        <f>$A$4*'CNPV, PVP, IRR'!P21</f>
        <v>3255040.1948892246</v>
      </c>
      <c r="Q4" s="93">
        <f>$A$4*'CNPV, PVP, IRR'!Q21</f>
        <v>3352658.764976345</v>
      </c>
      <c r="R4" s="93">
        <f>$A$4*'CNPV, PVP, IRR'!R21</f>
        <v>3437544.4780955799</v>
      </c>
      <c r="S4" s="93">
        <f>$A$4*'CNPV, PVP, IRR'!S21</f>
        <v>3511358.1416775235</v>
      </c>
      <c r="T4" s="93">
        <f>$A$4*'CNPV, PVP, IRR'!T21</f>
        <v>3575543.9360966049</v>
      </c>
      <c r="U4" s="93">
        <f>$A$4*'CNPV, PVP, IRR'!U21</f>
        <v>3631357.670374067</v>
      </c>
      <c r="V4" s="93">
        <f>$A$4*'CNPV, PVP, IRR'!V21</f>
        <v>3679891.3523544688</v>
      </c>
    </row>
    <row r="5" spans="1:22" x14ac:dyDescent="0.25">
      <c r="A5" s="99">
        <v>0.5</v>
      </c>
      <c r="B5">
        <f>$A$5*'CNPV, PVP, IRR'!B21</f>
        <v>0</v>
      </c>
      <c r="C5" s="93">
        <f>$A$5*'CNPV, PVP, IRR'!C21</f>
        <v>-881.75360000000012</v>
      </c>
      <c r="D5" s="93">
        <f>$A$5*'CNPV, PVP, IRR'!D21</f>
        <v>-1452.5974260869568</v>
      </c>
      <c r="E5" s="93">
        <f>$A$5*'CNPV, PVP, IRR'!E21</f>
        <v>1043114.9323835272</v>
      </c>
      <c r="F5" s="93">
        <f>$A$5*'CNPV, PVP, IRR'!F21</f>
        <v>1951434.5235223223</v>
      </c>
      <c r="G5" s="93">
        <f>$A$5*'CNPV, PVP, IRR'!G21</f>
        <v>2741277.6462517092</v>
      </c>
      <c r="H5" s="93">
        <f>$A$5*'CNPV, PVP, IRR'!H21</f>
        <v>3428097.7529729153</v>
      </c>
      <c r="I5" s="93">
        <f>$A$5*'CNPV, PVP, IRR'!I21</f>
        <v>4025332.62838266</v>
      </c>
      <c r="J5" s="93">
        <f>$A$5*'CNPV, PVP, IRR'!J21</f>
        <v>4544667.3026520032</v>
      </c>
      <c r="K5" s="93">
        <f>$A$5*'CNPV, PVP, IRR'!K21</f>
        <v>4996262.6715818672</v>
      </c>
      <c r="L5" s="93">
        <f>$A$5*'CNPV, PVP, IRR'!L21</f>
        <v>5388954.2967382707</v>
      </c>
      <c r="M5" s="93">
        <f>$A$5*'CNPV, PVP, IRR'!M21</f>
        <v>5730425.2751351427</v>
      </c>
      <c r="N5" s="93">
        <f>$A$5*'CNPV, PVP, IRR'!N21</f>
        <v>6027356.5606976403</v>
      </c>
      <c r="O5" s="93">
        <f>$A$5*'CNPV, PVP, IRR'!O21</f>
        <v>6285557.6785780732</v>
      </c>
      <c r="P5" s="93">
        <f>$A$5*'CNPV, PVP, IRR'!P21</f>
        <v>6510080.3897784492</v>
      </c>
      <c r="Q5" s="93">
        <f>$A$5*'CNPV, PVP, IRR'!Q21</f>
        <v>6705317.52995269</v>
      </c>
      <c r="R5" s="93">
        <f>$A$5*'CNPV, PVP, IRR'!R21</f>
        <v>6875088.9561911598</v>
      </c>
      <c r="S5" s="93">
        <f>$A$5*'CNPV, PVP, IRR'!S21</f>
        <v>7022716.283355047</v>
      </c>
      <c r="T5" s="93">
        <f>$A$5*'CNPV, PVP, IRR'!T21</f>
        <v>7151087.8721932098</v>
      </c>
      <c r="U5" s="93">
        <f>$A$5*'CNPV, PVP, IRR'!U21</f>
        <v>7262715.3407481341</v>
      </c>
      <c r="V5" s="93">
        <f>$A$5*'CNPV, PVP, IRR'!V21</f>
        <v>7359782.7047089376</v>
      </c>
    </row>
    <row r="6" spans="1:22" x14ac:dyDescent="0.25">
      <c r="A6" s="99">
        <v>0.75</v>
      </c>
      <c r="B6">
        <f>$A$6*'CNPV, PVP, IRR'!B21</f>
        <v>0</v>
      </c>
      <c r="C6" s="93">
        <f>$A$6*'CNPV, PVP, IRR'!C21</f>
        <v>-1322.6304000000002</v>
      </c>
      <c r="D6" s="93">
        <f>$A$6*'CNPV, PVP, IRR'!D21</f>
        <v>-2178.8961391304351</v>
      </c>
      <c r="E6" s="93">
        <f>$A$6*'CNPV, PVP, IRR'!E21</f>
        <v>1564672.3985752908</v>
      </c>
      <c r="F6" s="93">
        <f>$A$6*'CNPV, PVP, IRR'!F21</f>
        <v>2927151.7852834836</v>
      </c>
      <c r="G6" s="93">
        <f>$A$6*'CNPV, PVP, IRR'!G21</f>
        <v>4111916.4693775638</v>
      </c>
      <c r="H6" s="93">
        <f>$A$6*'CNPV, PVP, IRR'!H21</f>
        <v>5142146.6294593727</v>
      </c>
      <c r="I6" s="93">
        <f>$A$6*'CNPV, PVP, IRR'!I21</f>
        <v>6037998.9425739897</v>
      </c>
      <c r="J6" s="93">
        <f>$A$6*'CNPV, PVP, IRR'!J21</f>
        <v>6817000.9539780049</v>
      </c>
      <c r="K6" s="93">
        <f>$A$6*'CNPV, PVP, IRR'!K21</f>
        <v>7494394.0073728003</v>
      </c>
      <c r="L6" s="93">
        <f>$A$6*'CNPV, PVP, IRR'!L21</f>
        <v>8083431.445107406</v>
      </c>
      <c r="M6" s="93">
        <f>$A$6*'CNPV, PVP, IRR'!M21</f>
        <v>8595637.9127027132</v>
      </c>
      <c r="N6" s="93">
        <f>$A$6*'CNPV, PVP, IRR'!N21</f>
        <v>9041034.84104646</v>
      </c>
      <c r="O6" s="93">
        <f>$A$6*'CNPV, PVP, IRR'!O21</f>
        <v>9428336.5178671107</v>
      </c>
      <c r="P6" s="93">
        <f>$A$6*'CNPV, PVP, IRR'!P21</f>
        <v>9765120.5846676733</v>
      </c>
      <c r="Q6" s="93">
        <f>$A$6*'CNPV, PVP, IRR'!Q21</f>
        <v>10057976.294929035</v>
      </c>
      <c r="R6" s="93">
        <f>$A$6*'CNPV, PVP, IRR'!R21</f>
        <v>10312633.43428674</v>
      </c>
      <c r="S6" s="93">
        <f>$A$6*'CNPV, PVP, IRR'!S21</f>
        <v>10534074.425032571</v>
      </c>
      <c r="T6" s="93">
        <f>$A$6*'CNPV, PVP, IRR'!T21</f>
        <v>10726631.808289815</v>
      </c>
      <c r="U6" s="93">
        <f>$A$6*'CNPV, PVP, IRR'!U21</f>
        <v>10894073.011122201</v>
      </c>
      <c r="V6" s="93">
        <f>$A$6*'CNPV, PVP, IRR'!V21</f>
        <v>11039674.057063406</v>
      </c>
    </row>
    <row r="7" spans="1:22" x14ac:dyDescent="0.25">
      <c r="A7" s="99">
        <v>1</v>
      </c>
      <c r="B7">
        <f>$A$7*'CNPV, PVP, IRR'!B21</f>
        <v>0</v>
      </c>
      <c r="C7" s="93">
        <f>$A$7*'CNPV, PVP, IRR'!C21</f>
        <v>-1763.5072000000002</v>
      </c>
      <c r="D7" s="93">
        <f>$A$7*'CNPV, PVP, IRR'!D21</f>
        <v>-2905.1948521739137</v>
      </c>
      <c r="E7" s="93">
        <f>$A$7*'CNPV, PVP, IRR'!E21</f>
        <v>2086229.8647670543</v>
      </c>
      <c r="F7" s="93">
        <f>$A$7*'CNPV, PVP, IRR'!F21</f>
        <v>3902869.0470446446</v>
      </c>
      <c r="G7" s="93">
        <f>$A$7*'CNPV, PVP, IRR'!G21</f>
        <v>5482555.2925034184</v>
      </c>
      <c r="H7" s="93">
        <f>$A$7*'CNPV, PVP, IRR'!H21</f>
        <v>6856195.5059458306</v>
      </c>
      <c r="I7" s="93">
        <f>$A$7*'CNPV, PVP, IRR'!I21</f>
        <v>8050665.25676532</v>
      </c>
      <c r="J7" s="93">
        <f>$A$7*'CNPV, PVP, IRR'!J21</f>
        <v>9089334.6053040065</v>
      </c>
      <c r="K7" s="93">
        <f>$A$7*'CNPV, PVP, IRR'!K21</f>
        <v>9992525.3431637343</v>
      </c>
      <c r="L7" s="93">
        <f>$A$7*'CNPV, PVP, IRR'!L21</f>
        <v>10777908.593476541</v>
      </c>
      <c r="M7" s="93">
        <f>$A$7*'CNPV, PVP, IRR'!M21</f>
        <v>11460850.550270285</v>
      </c>
      <c r="N7" s="93">
        <f>$A$7*'CNPV, PVP, IRR'!N21</f>
        <v>12054713.121395281</v>
      </c>
      <c r="O7" s="93">
        <f>$A$7*'CNPV, PVP, IRR'!O21</f>
        <v>12571115.357156146</v>
      </c>
      <c r="P7" s="93">
        <f>$A$7*'CNPV, PVP, IRR'!P21</f>
        <v>13020160.779556898</v>
      </c>
      <c r="Q7" s="93">
        <f>$A$7*'CNPV, PVP, IRR'!Q21</f>
        <v>13410635.05990538</v>
      </c>
      <c r="R7" s="93">
        <f>$A$7*'CNPV, PVP, IRR'!R21</f>
        <v>13750177.91238232</v>
      </c>
      <c r="S7" s="93">
        <f>$A$7*'CNPV, PVP, IRR'!S21</f>
        <v>14045432.566710094</v>
      </c>
      <c r="T7" s="93">
        <f>$A$7*'CNPV, PVP, IRR'!T21</f>
        <v>14302175.74438642</v>
      </c>
      <c r="U7" s="93">
        <f>$A$7*'CNPV, PVP, IRR'!U21</f>
        <v>14525430.681496268</v>
      </c>
      <c r="V7" s="93">
        <f>$A$7*'CNPV, PVP, IRR'!V21</f>
        <v>14719565.409417875</v>
      </c>
    </row>
    <row r="9" spans="1:22" x14ac:dyDescent="0.25">
      <c r="A9" s="99">
        <v>0.1</v>
      </c>
      <c r="B9">
        <v>0</v>
      </c>
      <c r="C9" s="100">
        <f>C3/10000</f>
        <v>-1.7635072000000002E-2</v>
      </c>
      <c r="D9" s="100">
        <f t="shared" ref="D9:V13" si="0">D3/10000</f>
        <v>-2.9051948521739139E-2</v>
      </c>
      <c r="E9" s="100">
        <f t="shared" si="0"/>
        <v>20.862298647670542</v>
      </c>
      <c r="F9" s="100">
        <f t="shared" si="0"/>
        <v>39.028690470446449</v>
      </c>
      <c r="G9" s="100">
        <f t="shared" si="0"/>
        <v>54.825552925034181</v>
      </c>
      <c r="H9" s="100">
        <f t="shared" si="0"/>
        <v>68.561955059458313</v>
      </c>
      <c r="I9" s="100">
        <f t="shared" si="0"/>
        <v>80.506652567653205</v>
      </c>
      <c r="J9" s="100">
        <f t="shared" si="0"/>
        <v>90.893346053040077</v>
      </c>
      <c r="K9" s="100">
        <f t="shared" si="0"/>
        <v>99.925253431637358</v>
      </c>
      <c r="L9" s="100">
        <f t="shared" si="0"/>
        <v>107.77908593476543</v>
      </c>
      <c r="M9" s="100">
        <f t="shared" si="0"/>
        <v>114.60850550270285</v>
      </c>
      <c r="N9" s="100">
        <f t="shared" si="0"/>
        <v>120.54713121395281</v>
      </c>
      <c r="O9" s="100">
        <f t="shared" si="0"/>
        <v>125.71115357156147</v>
      </c>
      <c r="P9" s="100">
        <f t="shared" si="0"/>
        <v>130.201607795569</v>
      </c>
      <c r="Q9" s="100">
        <f t="shared" si="0"/>
        <v>134.1063505990538</v>
      </c>
      <c r="R9" s="100">
        <f t="shared" si="0"/>
        <v>137.50177912382321</v>
      </c>
      <c r="S9" s="100">
        <f t="shared" si="0"/>
        <v>140.45432566710096</v>
      </c>
      <c r="T9" s="100">
        <f t="shared" si="0"/>
        <v>143.0217574438642</v>
      </c>
      <c r="U9" s="100">
        <f t="shared" si="0"/>
        <v>145.25430681496269</v>
      </c>
      <c r="V9" s="100">
        <f t="shared" si="0"/>
        <v>147.19565409417876</v>
      </c>
    </row>
    <row r="10" spans="1:22" x14ac:dyDescent="0.25">
      <c r="A10" s="99">
        <v>0.25</v>
      </c>
      <c r="B10">
        <v>0</v>
      </c>
      <c r="C10" s="100">
        <f t="shared" ref="C10:R13" si="1">C4/10000</f>
        <v>-4.4087680000000004E-2</v>
      </c>
      <c r="D10" s="100">
        <f t="shared" si="1"/>
        <v>-7.2629871304347837E-2</v>
      </c>
      <c r="E10" s="100">
        <f t="shared" si="1"/>
        <v>52.155746619176355</v>
      </c>
      <c r="F10" s="100">
        <f t="shared" si="1"/>
        <v>97.571726176116115</v>
      </c>
      <c r="G10" s="100">
        <f t="shared" si="1"/>
        <v>137.06388231258546</v>
      </c>
      <c r="H10" s="100">
        <f t="shared" si="1"/>
        <v>171.40488764864577</v>
      </c>
      <c r="I10" s="100">
        <f t="shared" si="1"/>
        <v>201.26663141913301</v>
      </c>
      <c r="J10" s="100">
        <f t="shared" si="1"/>
        <v>227.23336513260017</v>
      </c>
      <c r="K10" s="100">
        <f t="shared" si="1"/>
        <v>249.81313357909335</v>
      </c>
      <c r="L10" s="100">
        <f t="shared" si="1"/>
        <v>269.44771483691352</v>
      </c>
      <c r="M10" s="100">
        <f t="shared" si="1"/>
        <v>286.52126375675715</v>
      </c>
      <c r="N10" s="100">
        <f t="shared" si="1"/>
        <v>301.367828034882</v>
      </c>
      <c r="O10" s="100">
        <f t="shared" si="1"/>
        <v>314.27788392890363</v>
      </c>
      <c r="P10" s="100">
        <f t="shared" si="1"/>
        <v>325.50401948892244</v>
      </c>
      <c r="Q10" s="100">
        <f t="shared" si="1"/>
        <v>335.26587649763451</v>
      </c>
      <c r="R10" s="100">
        <f t="shared" si="1"/>
        <v>343.75444780955797</v>
      </c>
      <c r="S10" s="100">
        <f t="shared" si="0"/>
        <v>351.13581416775236</v>
      </c>
      <c r="T10" s="100">
        <f t="shared" si="0"/>
        <v>357.55439360966051</v>
      </c>
      <c r="U10" s="100">
        <f t="shared" si="0"/>
        <v>363.13576703740671</v>
      </c>
      <c r="V10" s="100">
        <f t="shared" si="0"/>
        <v>367.98913523544689</v>
      </c>
    </row>
    <row r="11" spans="1:22" x14ac:dyDescent="0.25">
      <c r="A11" s="99">
        <v>0.5</v>
      </c>
      <c r="B11">
        <v>0</v>
      </c>
      <c r="C11" s="100">
        <f t="shared" si="1"/>
        <v>-8.8175360000000008E-2</v>
      </c>
      <c r="D11" s="100">
        <f t="shared" si="1"/>
        <v>-0.14525974260869567</v>
      </c>
      <c r="E11" s="100">
        <f t="shared" si="1"/>
        <v>104.31149323835271</v>
      </c>
      <c r="F11" s="100">
        <f t="shared" si="1"/>
        <v>195.14345235223223</v>
      </c>
      <c r="G11" s="100">
        <f t="shared" si="1"/>
        <v>274.12776462517093</v>
      </c>
      <c r="H11" s="100">
        <f t="shared" si="1"/>
        <v>342.80977529729154</v>
      </c>
      <c r="I11" s="100">
        <f t="shared" si="1"/>
        <v>402.53326283826601</v>
      </c>
      <c r="J11" s="100">
        <f t="shared" si="1"/>
        <v>454.46673026520034</v>
      </c>
      <c r="K11" s="100">
        <f t="shared" si="1"/>
        <v>499.62626715818669</v>
      </c>
      <c r="L11" s="100">
        <f t="shared" si="1"/>
        <v>538.89542967382704</v>
      </c>
      <c r="M11" s="100">
        <f t="shared" si="1"/>
        <v>573.0425275135143</v>
      </c>
      <c r="N11" s="100">
        <f t="shared" si="1"/>
        <v>602.73565606976399</v>
      </c>
      <c r="O11" s="100">
        <f t="shared" si="1"/>
        <v>628.55576785780727</v>
      </c>
      <c r="P11" s="100">
        <f t="shared" si="1"/>
        <v>651.00803897784488</v>
      </c>
      <c r="Q11" s="100">
        <f t="shared" si="1"/>
        <v>670.53175299526902</v>
      </c>
      <c r="R11" s="100">
        <f t="shared" si="1"/>
        <v>687.50889561911595</v>
      </c>
      <c r="S11" s="100">
        <f t="shared" si="0"/>
        <v>702.27162833550472</v>
      </c>
      <c r="T11" s="100">
        <f t="shared" si="0"/>
        <v>715.10878721932102</v>
      </c>
      <c r="U11" s="100">
        <f t="shared" si="0"/>
        <v>726.27153407481342</v>
      </c>
      <c r="V11" s="100">
        <f t="shared" si="0"/>
        <v>735.97827047089379</v>
      </c>
    </row>
    <row r="12" spans="1:22" x14ac:dyDescent="0.25">
      <c r="A12" s="99">
        <v>0.75</v>
      </c>
      <c r="B12">
        <v>0</v>
      </c>
      <c r="C12" s="100">
        <f t="shared" si="1"/>
        <v>-0.13226304000000003</v>
      </c>
      <c r="D12" s="100">
        <f t="shared" si="1"/>
        <v>-0.21788961391304351</v>
      </c>
      <c r="E12" s="100">
        <f t="shared" si="1"/>
        <v>156.46723985752908</v>
      </c>
      <c r="F12" s="100">
        <f t="shared" si="1"/>
        <v>292.71517852834836</v>
      </c>
      <c r="G12" s="100">
        <f t="shared" si="1"/>
        <v>411.19164693775639</v>
      </c>
      <c r="H12" s="100">
        <f t="shared" si="1"/>
        <v>514.21466294593722</v>
      </c>
      <c r="I12" s="100">
        <f t="shared" si="1"/>
        <v>603.79989425739893</v>
      </c>
      <c r="J12" s="100">
        <f t="shared" si="1"/>
        <v>681.70009539780051</v>
      </c>
      <c r="K12" s="100">
        <f t="shared" si="1"/>
        <v>749.43940073728004</v>
      </c>
      <c r="L12" s="100">
        <f t="shared" si="1"/>
        <v>808.34314451074056</v>
      </c>
      <c r="M12" s="100">
        <f t="shared" si="1"/>
        <v>859.56379127027128</v>
      </c>
      <c r="N12" s="100">
        <f t="shared" si="1"/>
        <v>904.10348410464599</v>
      </c>
      <c r="O12" s="100">
        <f t="shared" si="1"/>
        <v>942.83365178671102</v>
      </c>
      <c r="P12" s="100">
        <f t="shared" si="1"/>
        <v>976.51205846676737</v>
      </c>
      <c r="Q12" s="100">
        <f t="shared" si="1"/>
        <v>1005.7976294929035</v>
      </c>
      <c r="R12" s="100">
        <f t="shared" si="1"/>
        <v>1031.263343428674</v>
      </c>
      <c r="S12" s="100">
        <f t="shared" si="0"/>
        <v>1053.407442503257</v>
      </c>
      <c r="T12" s="100">
        <f t="shared" si="0"/>
        <v>1072.6631808289815</v>
      </c>
      <c r="U12" s="100">
        <f t="shared" si="0"/>
        <v>1089.40730111222</v>
      </c>
      <c r="V12" s="100">
        <f t="shared" si="0"/>
        <v>1103.9674057063407</v>
      </c>
    </row>
    <row r="13" spans="1:22" x14ac:dyDescent="0.25">
      <c r="A13" s="99">
        <v>1</v>
      </c>
      <c r="B13">
        <v>0</v>
      </c>
      <c r="C13" s="100">
        <f t="shared" si="1"/>
        <v>-0.17635072000000002</v>
      </c>
      <c r="D13" s="100">
        <f t="shared" si="1"/>
        <v>-0.29051948521739135</v>
      </c>
      <c r="E13" s="100">
        <f t="shared" si="1"/>
        <v>208.62298647670542</v>
      </c>
      <c r="F13" s="100">
        <f t="shared" si="1"/>
        <v>390.28690470446446</v>
      </c>
      <c r="G13" s="100">
        <f t="shared" si="1"/>
        <v>548.25552925034185</v>
      </c>
      <c r="H13" s="100">
        <f t="shared" si="1"/>
        <v>685.61955059458307</v>
      </c>
      <c r="I13" s="100">
        <f t="shared" si="1"/>
        <v>805.06652567653202</v>
      </c>
      <c r="J13" s="100">
        <f t="shared" si="1"/>
        <v>908.93346053040068</v>
      </c>
      <c r="K13" s="100">
        <f t="shared" si="1"/>
        <v>999.25253431637339</v>
      </c>
      <c r="L13" s="100">
        <f t="shared" si="1"/>
        <v>1077.7908593476541</v>
      </c>
      <c r="M13" s="100">
        <f t="shared" si="1"/>
        <v>1146.0850550270286</v>
      </c>
      <c r="N13" s="100">
        <f t="shared" si="1"/>
        <v>1205.471312139528</v>
      </c>
      <c r="O13" s="100">
        <f t="shared" si="1"/>
        <v>1257.1115357156145</v>
      </c>
      <c r="P13" s="100">
        <f t="shared" si="1"/>
        <v>1302.0160779556898</v>
      </c>
      <c r="Q13" s="100">
        <f t="shared" si="1"/>
        <v>1341.063505990538</v>
      </c>
      <c r="R13" s="100">
        <f t="shared" si="1"/>
        <v>1375.0177912382319</v>
      </c>
      <c r="S13" s="100">
        <f t="shared" si="0"/>
        <v>1404.5432566710094</v>
      </c>
      <c r="T13" s="100">
        <f t="shared" si="0"/>
        <v>1430.217574438642</v>
      </c>
      <c r="U13" s="100">
        <f t="shared" si="0"/>
        <v>1452.5430681496268</v>
      </c>
      <c r="V13" s="100">
        <f t="shared" si="0"/>
        <v>1471.9565409417876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opLeftCell="A10" workbookViewId="0">
      <selection activeCell="I19" sqref="I19"/>
    </sheetView>
  </sheetViews>
  <sheetFormatPr defaultRowHeight="15" x14ac:dyDescent="0.25"/>
  <cols>
    <col min="1" max="1" width="19.42578125" bestFit="1" customWidth="1"/>
  </cols>
  <sheetData>
    <row r="1" spans="1:22" x14ac:dyDescent="0.25">
      <c r="B1" s="99" t="s">
        <v>234</v>
      </c>
      <c r="D1" s="99"/>
      <c r="E1" s="99"/>
      <c r="F1" s="99"/>
    </row>
    <row r="2" spans="1:22" x14ac:dyDescent="0.25">
      <c r="A2" t="s">
        <v>235</v>
      </c>
      <c r="B2">
        <v>0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</row>
    <row r="3" spans="1:22" x14ac:dyDescent="0.25">
      <c r="A3" s="99">
        <v>1</v>
      </c>
      <c r="B3">
        <v>0</v>
      </c>
      <c r="C3">
        <v>-0.59162941893539223</v>
      </c>
      <c r="D3">
        <v>-0.97464798685582055</v>
      </c>
      <c r="E3">
        <v>1.7474850126414037</v>
      </c>
      <c r="F3">
        <v>4.114557186117251</v>
      </c>
      <c r="G3">
        <v>6.1728808152266836</v>
      </c>
      <c r="H3">
        <v>7.9627274492348858</v>
      </c>
      <c r="I3">
        <v>9.5191158266333247</v>
      </c>
      <c r="J3">
        <v>10.872497024371096</v>
      </c>
      <c r="K3">
        <v>12.049350239795245</v>
      </c>
      <c r="L3">
        <v>13.072700861903202</v>
      </c>
      <c r="M3">
        <v>13.962570968084034</v>
      </c>
      <c r="N3">
        <v>14.736371060415191</v>
      </c>
      <c r="O3">
        <v>15.409240705920546</v>
      </c>
      <c r="P3">
        <v>15.99434474549042</v>
      </c>
      <c r="Q3">
        <v>16.503130866855525</v>
      </c>
      <c r="R3">
        <v>16.945553581086056</v>
      </c>
      <c r="S3">
        <v>17.330268984764775</v>
      </c>
      <c r="T3">
        <v>17.664804118398443</v>
      </c>
      <c r="U3">
        <v>17.955704234601637</v>
      </c>
      <c r="V3">
        <v>18.20866085738702</v>
      </c>
    </row>
    <row r="4" spans="1:22" x14ac:dyDescent="0.25">
      <c r="A4" s="99">
        <v>2</v>
      </c>
      <c r="B4">
        <v>0</v>
      </c>
      <c r="C4">
        <v>-0.59162941893539223</v>
      </c>
      <c r="D4">
        <v>-0.97464798685582055</v>
      </c>
      <c r="E4">
        <v>-66.032323200064212</v>
      </c>
      <c r="F4">
        <v>-122.60421468981066</v>
      </c>
      <c r="G4">
        <v>-171.79716381132928</v>
      </c>
      <c r="H4">
        <v>-214.57364130830203</v>
      </c>
      <c r="I4">
        <v>-251.77057826219138</v>
      </c>
      <c r="J4">
        <v>-284.1157408307908</v>
      </c>
      <c r="K4">
        <v>-312.24196915131205</v>
      </c>
      <c r="L4">
        <v>-336.69955899524359</v>
      </c>
      <c r="M4">
        <v>-357.96702842474923</v>
      </c>
      <c r="N4">
        <v>-376.46048010258033</v>
      </c>
      <c r="O4">
        <v>-392.54174243112897</v>
      </c>
      <c r="P4">
        <v>-406.52544880378002</v>
      </c>
      <c r="Q4">
        <v>-418.68519347565052</v>
      </c>
      <c r="R4">
        <v>-429.25888449466834</v>
      </c>
      <c r="S4">
        <v>-438.45339842424903</v>
      </c>
      <c r="T4">
        <v>-446.44862792823227</v>
      </c>
      <c r="U4">
        <v>-453.40100140995685</v>
      </c>
      <c r="V4">
        <v>-459.44654356797821</v>
      </c>
    </row>
    <row r="5" spans="1:22" x14ac:dyDescent="0.25">
      <c r="A5" s="99">
        <v>3</v>
      </c>
      <c r="B5">
        <v>0</v>
      </c>
      <c r="C5">
        <v>-0.59162941893539223</v>
      </c>
      <c r="D5">
        <v>-0.97464798685582055</v>
      </c>
      <c r="E5">
        <v>-133.81213141276984</v>
      </c>
      <c r="F5">
        <v>-249.3229865657386</v>
      </c>
      <c r="G5">
        <v>-349.7672084378853</v>
      </c>
      <c r="H5">
        <v>-437.11001006583894</v>
      </c>
      <c r="I5">
        <v>-513.06027235101612</v>
      </c>
      <c r="J5">
        <v>-579.10397868595271</v>
      </c>
      <c r="K5">
        <v>-636.53328854241943</v>
      </c>
      <c r="L5">
        <v>-686.47181885239036</v>
      </c>
      <c r="M5">
        <v>-729.8966278175825</v>
      </c>
      <c r="N5">
        <v>-767.65733126557575</v>
      </c>
      <c r="O5">
        <v>-800.49272556817857</v>
      </c>
      <c r="P5">
        <v>-829.04524235305053</v>
      </c>
      <c r="Q5">
        <v>-853.87351781815664</v>
      </c>
      <c r="R5">
        <v>-875.46332257042286</v>
      </c>
      <c r="S5">
        <v>-894.23706583326293</v>
      </c>
      <c r="T5">
        <v>-910.56205997486302</v>
      </c>
      <c r="U5">
        <v>-924.75770705451532</v>
      </c>
      <c r="V5">
        <v>-937.10174799334345</v>
      </c>
    </row>
    <row r="6" spans="1:22" x14ac:dyDescent="0.25">
      <c r="A6" s="99">
        <v>4</v>
      </c>
      <c r="B6">
        <v>0</v>
      </c>
      <c r="C6">
        <v>-0.59162941893539223</v>
      </c>
      <c r="D6">
        <v>-0.97464798685582055</v>
      </c>
      <c r="E6">
        <v>-201.59193962547545</v>
      </c>
      <c r="F6">
        <v>-376.04175844166645</v>
      </c>
      <c r="G6">
        <v>-527.73725306444123</v>
      </c>
      <c r="H6">
        <v>-659.64637882337593</v>
      </c>
      <c r="I6">
        <v>-774.34996643984084</v>
      </c>
      <c r="J6">
        <v>-874.09221654111468</v>
      </c>
      <c r="K6">
        <v>-960.82460793352675</v>
      </c>
      <c r="L6">
        <v>-1036.2440787095372</v>
      </c>
      <c r="M6">
        <v>-1101.8262272104159</v>
      </c>
      <c r="N6">
        <v>-1158.8541824285712</v>
      </c>
      <c r="O6">
        <v>-1208.4437087052283</v>
      </c>
      <c r="P6">
        <v>-1251.5650359023211</v>
      </c>
      <c r="Q6">
        <v>-1289.061842160663</v>
      </c>
      <c r="R6">
        <v>-1321.6677606461776</v>
      </c>
      <c r="S6">
        <v>-1350.0207332422769</v>
      </c>
      <c r="T6">
        <v>-1374.6754920214942</v>
      </c>
      <c r="U6">
        <v>-1396.1144126990739</v>
      </c>
      <c r="V6">
        <v>-1414.7569524187088</v>
      </c>
    </row>
    <row r="7" spans="1:22" x14ac:dyDescent="0.25">
      <c r="A7" s="99">
        <v>5</v>
      </c>
      <c r="B7">
        <v>0</v>
      </c>
      <c r="C7">
        <v>-0.59162941893539223</v>
      </c>
      <c r="D7">
        <v>-0.97464798685582055</v>
      </c>
      <c r="E7">
        <v>-269.37174783818108</v>
      </c>
      <c r="F7">
        <v>-502.76053031759437</v>
      </c>
      <c r="G7">
        <v>-705.70729769099728</v>
      </c>
      <c r="H7">
        <v>-882.18274758091286</v>
      </c>
      <c r="I7">
        <v>-1035.6396605286654</v>
      </c>
      <c r="J7">
        <v>-1169.0804543962765</v>
      </c>
      <c r="K7">
        <v>-1285.1159273246342</v>
      </c>
      <c r="L7">
        <v>-1386.0163385666842</v>
      </c>
      <c r="M7">
        <v>-1473.7558266032495</v>
      </c>
      <c r="N7">
        <v>-1550.0510335915669</v>
      </c>
      <c r="O7">
        <v>-1616.394691842278</v>
      </c>
      <c r="P7">
        <v>-1674.0848294515918</v>
      </c>
      <c r="Q7">
        <v>-1724.2501665031691</v>
      </c>
      <c r="R7">
        <v>-1767.8721987219319</v>
      </c>
      <c r="S7">
        <v>-1805.804400651291</v>
      </c>
      <c r="T7">
        <v>-1838.788924068125</v>
      </c>
      <c r="U7">
        <v>-1867.4711183436325</v>
      </c>
      <c r="V7">
        <v>-1892.4121568440742</v>
      </c>
    </row>
    <row r="9" spans="1:22" x14ac:dyDescent="0.25">
      <c r="A9" s="99">
        <v>1</v>
      </c>
      <c r="B9">
        <f>B3/100</f>
        <v>0</v>
      </c>
      <c r="C9">
        <f t="shared" ref="C9:V10" si="0">C3/100</f>
        <v>-5.9162941893539222E-3</v>
      </c>
      <c r="D9">
        <f t="shared" si="0"/>
        <v>-9.7464798685582051E-3</v>
      </c>
      <c r="E9">
        <f t="shared" si="0"/>
        <v>1.7474850126414036E-2</v>
      </c>
      <c r="F9">
        <f t="shared" si="0"/>
        <v>4.1145571861172507E-2</v>
      </c>
      <c r="G9">
        <f t="shared" si="0"/>
        <v>6.1728808152266834E-2</v>
      </c>
      <c r="H9">
        <f t="shared" si="0"/>
        <v>7.9627274492348854E-2</v>
      </c>
      <c r="I9">
        <f t="shared" si="0"/>
        <v>9.5191158266333245E-2</v>
      </c>
      <c r="J9">
        <f t="shared" si="0"/>
        <v>0.10872497024371096</v>
      </c>
      <c r="K9">
        <f t="shared" si="0"/>
        <v>0.12049350239795245</v>
      </c>
      <c r="L9">
        <f t="shared" si="0"/>
        <v>0.13072700861903203</v>
      </c>
      <c r="M9">
        <f t="shared" si="0"/>
        <v>0.13962570968084034</v>
      </c>
      <c r="N9">
        <f t="shared" si="0"/>
        <v>0.1473637106041519</v>
      </c>
      <c r="O9">
        <f t="shared" si="0"/>
        <v>0.15409240705920546</v>
      </c>
      <c r="P9">
        <f t="shared" si="0"/>
        <v>0.15994344745490419</v>
      </c>
      <c r="Q9">
        <f t="shared" si="0"/>
        <v>0.16503130866855525</v>
      </c>
      <c r="R9">
        <f t="shared" si="0"/>
        <v>0.16945553581086056</v>
      </c>
      <c r="S9">
        <f t="shared" si="0"/>
        <v>0.17330268984764774</v>
      </c>
      <c r="T9">
        <f t="shared" si="0"/>
        <v>0.17664804118398444</v>
      </c>
      <c r="U9">
        <f t="shared" si="0"/>
        <v>0.17955704234601635</v>
      </c>
      <c r="V9">
        <f t="shared" si="0"/>
        <v>0.18208660857387021</v>
      </c>
    </row>
    <row r="10" spans="1:22" x14ac:dyDescent="0.25">
      <c r="A10" s="99">
        <v>2</v>
      </c>
      <c r="B10">
        <f t="shared" ref="B10:Q12" si="1">B4/100</f>
        <v>0</v>
      </c>
      <c r="C10">
        <f t="shared" si="1"/>
        <v>-5.9162941893539222E-3</v>
      </c>
      <c r="D10">
        <f t="shared" si="1"/>
        <v>-9.7464798685582051E-3</v>
      </c>
      <c r="E10">
        <f t="shared" si="1"/>
        <v>-0.66032323200064214</v>
      </c>
      <c r="F10">
        <f t="shared" si="1"/>
        <v>-1.2260421468981066</v>
      </c>
      <c r="G10">
        <f t="shared" si="1"/>
        <v>-1.7179716381132928</v>
      </c>
      <c r="H10">
        <f t="shared" si="1"/>
        <v>-2.1457364130830201</v>
      </c>
      <c r="I10">
        <f t="shared" si="1"/>
        <v>-2.5177057826219138</v>
      </c>
      <c r="J10">
        <f t="shared" si="1"/>
        <v>-2.8411574083079079</v>
      </c>
      <c r="K10">
        <f t="shared" si="1"/>
        <v>-3.1224196915131204</v>
      </c>
      <c r="L10">
        <f t="shared" si="1"/>
        <v>-3.366995589952436</v>
      </c>
      <c r="M10">
        <f t="shared" si="1"/>
        <v>-3.5796702842474923</v>
      </c>
      <c r="N10">
        <f t="shared" si="1"/>
        <v>-3.7646048010258033</v>
      </c>
      <c r="O10">
        <f t="shared" si="1"/>
        <v>-3.9254174243112896</v>
      </c>
      <c r="P10">
        <f t="shared" si="1"/>
        <v>-4.0652544880377999</v>
      </c>
      <c r="Q10">
        <f t="shared" si="1"/>
        <v>-4.186851934756505</v>
      </c>
      <c r="R10">
        <f t="shared" si="0"/>
        <v>-4.2925888449466836</v>
      </c>
      <c r="S10">
        <f t="shared" si="0"/>
        <v>-4.3845339842424904</v>
      </c>
      <c r="T10">
        <f t="shared" si="0"/>
        <v>-4.4644862792823226</v>
      </c>
      <c r="U10">
        <f t="shared" si="0"/>
        <v>-4.5340100140995681</v>
      </c>
      <c r="V10">
        <f t="shared" si="0"/>
        <v>-4.5944654356797825</v>
      </c>
    </row>
    <row r="11" spans="1:22" x14ac:dyDescent="0.25">
      <c r="A11" s="99">
        <v>3</v>
      </c>
      <c r="B11">
        <f>B5/100</f>
        <v>0</v>
      </c>
      <c r="C11">
        <f t="shared" ref="C11:V12" si="2">C5/100</f>
        <v>-5.9162941893539222E-3</v>
      </c>
      <c r="D11">
        <f t="shared" si="2"/>
        <v>-9.7464798685582051E-3</v>
      </c>
      <c r="E11">
        <f t="shared" si="2"/>
        <v>-1.3381213141276984</v>
      </c>
      <c r="F11">
        <f t="shared" si="2"/>
        <v>-2.4932298656573861</v>
      </c>
      <c r="G11">
        <f t="shared" si="2"/>
        <v>-3.4976720843788529</v>
      </c>
      <c r="H11">
        <f t="shared" si="2"/>
        <v>-4.3711001006583894</v>
      </c>
      <c r="I11">
        <f t="shared" si="2"/>
        <v>-5.1306027235101617</v>
      </c>
      <c r="J11">
        <f t="shared" si="2"/>
        <v>-5.7910397868595274</v>
      </c>
      <c r="K11">
        <f t="shared" si="2"/>
        <v>-6.365332885424194</v>
      </c>
      <c r="L11">
        <f t="shared" si="2"/>
        <v>-6.8647181885239039</v>
      </c>
      <c r="M11">
        <f t="shared" si="2"/>
        <v>-7.2989662781758247</v>
      </c>
      <c r="N11">
        <f t="shared" si="2"/>
        <v>-7.6765733126557576</v>
      </c>
      <c r="O11">
        <f t="shared" si="2"/>
        <v>-8.0049272556817854</v>
      </c>
      <c r="P11">
        <f t="shared" si="2"/>
        <v>-8.290452423530505</v>
      </c>
      <c r="Q11">
        <f t="shared" si="2"/>
        <v>-8.5387351781815664</v>
      </c>
      <c r="R11">
        <f t="shared" si="2"/>
        <v>-8.7546332257042287</v>
      </c>
      <c r="S11">
        <f t="shared" si="2"/>
        <v>-8.9423706583326297</v>
      </c>
      <c r="T11">
        <f t="shared" si="2"/>
        <v>-9.1056205997486295</v>
      </c>
      <c r="U11">
        <f t="shared" si="2"/>
        <v>-9.2475770705451534</v>
      </c>
      <c r="V11">
        <f t="shared" si="2"/>
        <v>-9.3710174799334354</v>
      </c>
    </row>
    <row r="12" spans="1:22" x14ac:dyDescent="0.25">
      <c r="A12" s="99">
        <v>4</v>
      </c>
      <c r="B12">
        <f t="shared" si="1"/>
        <v>0</v>
      </c>
      <c r="C12">
        <f t="shared" si="1"/>
        <v>-5.9162941893539222E-3</v>
      </c>
      <c r="D12">
        <f t="shared" si="1"/>
        <v>-9.7464798685582051E-3</v>
      </c>
      <c r="E12">
        <f t="shared" si="1"/>
        <v>-2.0159193962547546</v>
      </c>
      <c r="F12">
        <f t="shared" si="1"/>
        <v>-3.7604175844166643</v>
      </c>
      <c r="G12">
        <f t="shared" si="1"/>
        <v>-5.2773725306444126</v>
      </c>
      <c r="H12">
        <f t="shared" si="1"/>
        <v>-6.5964637882337591</v>
      </c>
      <c r="I12">
        <f t="shared" si="1"/>
        <v>-7.7434996643984082</v>
      </c>
      <c r="J12">
        <f t="shared" si="1"/>
        <v>-8.7409221654111473</v>
      </c>
      <c r="K12">
        <f t="shared" si="1"/>
        <v>-9.6082460793352666</v>
      </c>
      <c r="L12">
        <f t="shared" si="1"/>
        <v>-10.362440787095373</v>
      </c>
      <c r="M12">
        <f t="shared" si="1"/>
        <v>-11.01826227210416</v>
      </c>
      <c r="N12">
        <f t="shared" si="1"/>
        <v>-11.588541824285713</v>
      </c>
      <c r="O12">
        <f t="shared" si="1"/>
        <v>-12.084437087052283</v>
      </c>
      <c r="P12">
        <f t="shared" si="1"/>
        <v>-12.515650359023212</v>
      </c>
      <c r="Q12">
        <f t="shared" si="1"/>
        <v>-12.89061842160663</v>
      </c>
      <c r="R12">
        <f t="shared" si="2"/>
        <v>-13.216677606461776</v>
      </c>
      <c r="S12">
        <f t="shared" si="2"/>
        <v>-13.50020733242277</v>
      </c>
      <c r="T12">
        <f t="shared" si="2"/>
        <v>-13.746754920214942</v>
      </c>
      <c r="U12">
        <f t="shared" si="2"/>
        <v>-13.961144126990739</v>
      </c>
      <c r="V12">
        <f t="shared" si="2"/>
        <v>-14.147569524187087</v>
      </c>
    </row>
    <row r="13" spans="1:22" x14ac:dyDescent="0.25">
      <c r="A13" s="99">
        <v>5</v>
      </c>
      <c r="B13">
        <f>B7/100</f>
        <v>0</v>
      </c>
      <c r="C13">
        <f t="shared" ref="C13:V13" si="3">C7/100</f>
        <v>-5.9162941893539222E-3</v>
      </c>
      <c r="D13">
        <f t="shared" si="3"/>
        <v>-9.7464798685582051E-3</v>
      </c>
      <c r="E13">
        <f t="shared" si="3"/>
        <v>-2.693717478381811</v>
      </c>
      <c r="F13">
        <f t="shared" si="3"/>
        <v>-5.0276053031759433</v>
      </c>
      <c r="G13">
        <f t="shared" si="3"/>
        <v>-7.0570729769099731</v>
      </c>
      <c r="H13">
        <f t="shared" si="3"/>
        <v>-8.821827475809128</v>
      </c>
      <c r="I13">
        <f t="shared" si="3"/>
        <v>-10.356396605286655</v>
      </c>
      <c r="J13">
        <f t="shared" si="3"/>
        <v>-11.690804543962765</v>
      </c>
      <c r="K13">
        <f t="shared" si="3"/>
        <v>-12.851159273246342</v>
      </c>
      <c r="L13">
        <f t="shared" si="3"/>
        <v>-13.860163385666842</v>
      </c>
      <c r="M13">
        <f t="shared" si="3"/>
        <v>-14.737558266032496</v>
      </c>
      <c r="N13">
        <f t="shared" si="3"/>
        <v>-15.500510335915669</v>
      </c>
      <c r="O13">
        <f t="shared" si="3"/>
        <v>-16.163946918422781</v>
      </c>
      <c r="P13">
        <f t="shared" si="3"/>
        <v>-16.740848294515917</v>
      </c>
      <c r="Q13">
        <f t="shared" si="3"/>
        <v>-17.242501665031693</v>
      </c>
      <c r="R13">
        <f t="shared" si="3"/>
        <v>-17.678721987219319</v>
      </c>
      <c r="S13">
        <f t="shared" si="3"/>
        <v>-18.058044006512908</v>
      </c>
      <c r="T13">
        <f t="shared" si="3"/>
        <v>-18.38788924068125</v>
      </c>
      <c r="U13">
        <f t="shared" si="3"/>
        <v>-18.674711183436326</v>
      </c>
      <c r="V13">
        <f t="shared" si="3"/>
        <v>-18.924121568440743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10" workbookViewId="0">
      <selection activeCell="C22" sqref="C22"/>
    </sheetView>
  </sheetViews>
  <sheetFormatPr defaultRowHeight="15" x14ac:dyDescent="0.25"/>
  <cols>
    <col min="2" max="2" width="41.85546875" bestFit="1" customWidth="1"/>
    <col min="3" max="3" width="16" customWidth="1"/>
    <col min="4" max="4" width="17.7109375" bestFit="1" customWidth="1"/>
    <col min="5" max="5" width="10.85546875" bestFit="1" customWidth="1"/>
    <col min="6" max="6" width="19.28515625" bestFit="1" customWidth="1"/>
    <col min="7" max="7" width="21.42578125" bestFit="1" customWidth="1"/>
    <col min="8" max="8" width="20.28515625" bestFit="1" customWidth="1"/>
    <col min="9" max="9" width="21.42578125" bestFit="1" customWidth="1"/>
    <col min="10" max="10" width="15.5703125" bestFit="1" customWidth="1"/>
    <col min="11" max="11" width="16.5703125" bestFit="1" customWidth="1"/>
  </cols>
  <sheetData>
    <row r="1" spans="1:6" x14ac:dyDescent="0.25">
      <c r="A1" t="s">
        <v>0</v>
      </c>
    </row>
    <row r="2" spans="1:6" x14ac:dyDescent="0.25">
      <c r="A2" t="s">
        <v>259</v>
      </c>
    </row>
    <row r="3" spans="1:6" x14ac:dyDescent="0.25">
      <c r="A3" t="s">
        <v>1</v>
      </c>
    </row>
    <row r="4" spans="1:6" s="16" customFormat="1" x14ac:dyDescent="0.25">
      <c r="A4" s="11" t="s">
        <v>2</v>
      </c>
      <c r="B4" s="11" t="s">
        <v>3</v>
      </c>
      <c r="C4" s="11" t="s">
        <v>4</v>
      </c>
      <c r="D4" s="11" t="s">
        <v>4</v>
      </c>
      <c r="E4" s="11" t="s">
        <v>5</v>
      </c>
      <c r="F4" s="11" t="s">
        <v>6</v>
      </c>
    </row>
    <row r="5" spans="1:6" x14ac:dyDescent="0.25">
      <c r="A5" s="8">
        <v>1</v>
      </c>
      <c r="B5" s="7" t="s">
        <v>243</v>
      </c>
      <c r="C5" s="6"/>
      <c r="D5" s="1">
        <v>798000</v>
      </c>
      <c r="E5">
        <v>3</v>
      </c>
      <c r="F5" s="1">
        <f>D5*E5</f>
        <v>2394000</v>
      </c>
    </row>
    <row r="6" spans="1:6" x14ac:dyDescent="0.25">
      <c r="A6" s="8">
        <v>2</v>
      </c>
      <c r="B6" s="7" t="s">
        <v>245</v>
      </c>
      <c r="C6" s="6"/>
      <c r="D6" s="5">
        <v>23000</v>
      </c>
      <c r="E6">
        <v>2</v>
      </c>
      <c r="F6" s="1">
        <f t="shared" ref="F6:F8" si="0">D6*E6</f>
        <v>46000</v>
      </c>
    </row>
    <row r="7" spans="1:6" x14ac:dyDescent="0.25">
      <c r="A7" s="8">
        <v>3</v>
      </c>
      <c r="B7" s="7" t="s">
        <v>248</v>
      </c>
      <c r="D7" s="1">
        <v>275000</v>
      </c>
      <c r="E7">
        <v>3</v>
      </c>
      <c r="F7" s="1">
        <f t="shared" si="0"/>
        <v>825000</v>
      </c>
    </row>
    <row r="8" spans="1:6" x14ac:dyDescent="0.25">
      <c r="A8" s="8">
        <v>4</v>
      </c>
      <c r="B8" s="7" t="s">
        <v>251</v>
      </c>
      <c r="C8" s="6"/>
      <c r="D8" s="1">
        <v>450000</v>
      </c>
      <c r="E8">
        <v>1</v>
      </c>
      <c r="F8" s="1">
        <f t="shared" si="0"/>
        <v>450000</v>
      </c>
    </row>
    <row r="9" spans="1:6" x14ac:dyDescent="0.25">
      <c r="A9" s="8">
        <v>5</v>
      </c>
      <c r="B9" s="7" t="s">
        <v>254</v>
      </c>
      <c r="D9" s="1">
        <v>31650000</v>
      </c>
      <c r="E9">
        <v>1</v>
      </c>
      <c r="F9" s="1">
        <f>D9*E9</f>
        <v>31650000</v>
      </c>
    </row>
    <row r="10" spans="1:6" x14ac:dyDescent="0.25">
      <c r="A10" s="8">
        <v>6</v>
      </c>
      <c r="B10" t="s">
        <v>256</v>
      </c>
      <c r="D10" s="1">
        <v>8300</v>
      </c>
      <c r="E10">
        <v>974</v>
      </c>
      <c r="F10" s="1">
        <f>D10*E10</f>
        <v>8084200</v>
      </c>
    </row>
    <row r="13" spans="1:6" x14ac:dyDescent="0.25">
      <c r="B13" s="17" t="s">
        <v>30</v>
      </c>
      <c r="F13" s="1">
        <f>SUM(F5:F10)</f>
        <v>43449200</v>
      </c>
    </row>
    <row r="16" spans="1:6" x14ac:dyDescent="0.25">
      <c r="A16" t="s">
        <v>31</v>
      </c>
    </row>
    <row r="17" spans="1:11" s="16" customFormat="1" x14ac:dyDescent="0.25">
      <c r="A17" s="11" t="s">
        <v>2</v>
      </c>
      <c r="B17" s="11" t="s">
        <v>3</v>
      </c>
      <c r="C17" s="11" t="s">
        <v>5</v>
      </c>
      <c r="D17" s="11" t="s">
        <v>32</v>
      </c>
      <c r="E17" s="11" t="s">
        <v>33</v>
      </c>
      <c r="F17" s="11" t="s">
        <v>34</v>
      </c>
      <c r="G17" s="11" t="s">
        <v>35</v>
      </c>
      <c r="H17" s="11" t="s">
        <v>39</v>
      </c>
      <c r="I17" s="11" t="s">
        <v>36</v>
      </c>
      <c r="J17" s="11" t="s">
        <v>37</v>
      </c>
      <c r="K17" s="11" t="s">
        <v>38</v>
      </c>
    </row>
    <row r="18" spans="1:11" x14ac:dyDescent="0.25">
      <c r="A18">
        <v>1</v>
      </c>
      <c r="B18" t="s">
        <v>260</v>
      </c>
      <c r="C18">
        <v>3</v>
      </c>
      <c r="D18">
        <v>0.2</v>
      </c>
      <c r="E18">
        <v>8</v>
      </c>
      <c r="F18">
        <v>1.6</v>
      </c>
      <c r="G18" s="1">
        <v>1444.7</v>
      </c>
      <c r="H18" s="1">
        <f>G18*F18</f>
        <v>2311.52</v>
      </c>
      <c r="I18" s="1">
        <f>5*H18</f>
        <v>11557.6</v>
      </c>
      <c r="J18" s="1">
        <f>22*H18</f>
        <v>50853.440000000002</v>
      </c>
      <c r="K18" s="1">
        <f>264*H18</f>
        <v>610241.28000000003</v>
      </c>
    </row>
    <row r="19" spans="1:11" x14ac:dyDescent="0.25">
      <c r="A19">
        <v>2</v>
      </c>
      <c r="B19" t="s">
        <v>261</v>
      </c>
      <c r="C19">
        <v>1</v>
      </c>
      <c r="D19">
        <v>0.85</v>
      </c>
      <c r="E19">
        <v>8</v>
      </c>
      <c r="F19">
        <v>6.8</v>
      </c>
      <c r="G19" s="1">
        <v>1444.7</v>
      </c>
      <c r="H19" s="1">
        <f>G19*F19</f>
        <v>9823.9600000000009</v>
      </c>
      <c r="I19" s="1">
        <f>5*H19</f>
        <v>49119.8</v>
      </c>
      <c r="J19" s="1">
        <f>22*H19</f>
        <v>216127.12000000002</v>
      </c>
      <c r="K19" s="1">
        <f>264*H19</f>
        <v>2593525.4400000004</v>
      </c>
    </row>
    <row r="20" spans="1:11" x14ac:dyDescent="0.25">
      <c r="B20" s="16" t="s">
        <v>30</v>
      </c>
      <c r="H20" s="1">
        <f>SUM(H18:H19)</f>
        <v>12135.480000000001</v>
      </c>
      <c r="I20" s="1">
        <f>SUM(I18:I19)</f>
        <v>60677.4</v>
      </c>
      <c r="J20" s="1">
        <f>SUM(J18:J19)</f>
        <v>266980.56000000006</v>
      </c>
      <c r="K20" s="1">
        <f>SUM(K18:K19)</f>
        <v>3203766.7200000007</v>
      </c>
    </row>
    <row r="23" spans="1:11" x14ac:dyDescent="0.25">
      <c r="A23" t="s">
        <v>40</v>
      </c>
    </row>
    <row r="24" spans="1:11" s="16" customFormat="1" x14ac:dyDescent="0.25">
      <c r="A24" s="11" t="s">
        <v>2</v>
      </c>
      <c r="B24" s="11" t="s">
        <v>3</v>
      </c>
      <c r="C24" s="11" t="s">
        <v>42</v>
      </c>
      <c r="D24" s="11" t="s">
        <v>42</v>
      </c>
      <c r="E24" s="11" t="s">
        <v>41</v>
      </c>
      <c r="F24" s="11" t="s">
        <v>39</v>
      </c>
      <c r="G24" s="11" t="s">
        <v>36</v>
      </c>
      <c r="H24" s="11" t="s">
        <v>37</v>
      </c>
      <c r="I24" s="11" t="s">
        <v>38</v>
      </c>
    </row>
    <row r="25" spans="1:11" x14ac:dyDescent="0.25">
      <c r="A25">
        <v>1</v>
      </c>
      <c r="B25" t="s">
        <v>262</v>
      </c>
      <c r="C25" s="6">
        <v>385.05</v>
      </c>
      <c r="D25" s="1">
        <v>6000000</v>
      </c>
      <c r="E25">
        <v>240</v>
      </c>
      <c r="F25" s="1">
        <f>E25*D25</f>
        <v>1440000000</v>
      </c>
      <c r="G25" s="1">
        <f>F25*5</f>
        <v>7200000000</v>
      </c>
      <c r="H25" s="1">
        <f>22*F25</f>
        <v>31680000000</v>
      </c>
      <c r="I25" s="1">
        <f>264*'Analisis Produk dan Harga'!F25</f>
        <v>380160000000</v>
      </c>
    </row>
    <row r="26" spans="1:11" x14ac:dyDescent="0.25">
      <c r="A26">
        <v>2</v>
      </c>
      <c r="B26" t="s">
        <v>263</v>
      </c>
      <c r="C26" s="6">
        <v>449.22</v>
      </c>
      <c r="D26" s="1">
        <v>7000000</v>
      </c>
      <c r="E26" s="10">
        <v>120</v>
      </c>
      <c r="F26" s="1">
        <f>E26*D26</f>
        <v>840000000</v>
      </c>
      <c r="G26" s="1">
        <f t="shared" ref="G26:G27" si="1">F26*5</f>
        <v>4200000000</v>
      </c>
      <c r="H26" s="1">
        <f t="shared" ref="H26:H27" si="2">22*F26</f>
        <v>18480000000</v>
      </c>
      <c r="I26" s="1">
        <f>264*'Analisis Produk dan Harga'!F26</f>
        <v>221760000000</v>
      </c>
    </row>
    <row r="27" spans="1:11" x14ac:dyDescent="0.25">
      <c r="A27">
        <v>3</v>
      </c>
      <c r="B27" s="4" t="s">
        <v>264</v>
      </c>
      <c r="C27" s="6">
        <v>1.28</v>
      </c>
      <c r="D27" s="1">
        <v>20000</v>
      </c>
      <c r="E27" s="10">
        <v>960</v>
      </c>
      <c r="F27" s="1">
        <f>E27*D27</f>
        <v>19200000</v>
      </c>
      <c r="G27" s="1">
        <f t="shared" si="1"/>
        <v>96000000</v>
      </c>
      <c r="H27" s="1">
        <f t="shared" si="2"/>
        <v>422400000</v>
      </c>
      <c r="I27" s="1">
        <f>264*'Analisis Produk dan Harga'!F27</f>
        <v>5068800000</v>
      </c>
    </row>
    <row r="29" spans="1:11" x14ac:dyDescent="0.25">
      <c r="B29" s="12" t="s">
        <v>43</v>
      </c>
      <c r="F29" s="1">
        <f>SUM(F25:F27)</f>
        <v>2299200000</v>
      </c>
    </row>
    <row r="30" spans="1:11" x14ac:dyDescent="0.25">
      <c r="B30" s="12" t="s">
        <v>44</v>
      </c>
      <c r="G30" s="1">
        <f>SUM(G25:G27)</f>
        <v>11496000000</v>
      </c>
    </row>
    <row r="31" spans="1:11" x14ac:dyDescent="0.25">
      <c r="B31" s="12" t="s">
        <v>45</v>
      </c>
      <c r="H31" s="1">
        <f>SUM(H25:H27)</f>
        <v>50582400000</v>
      </c>
    </row>
    <row r="32" spans="1:11" x14ac:dyDescent="0.25">
      <c r="B32" s="12" t="s">
        <v>46</v>
      </c>
      <c r="I32" s="1">
        <f>SUM(I25:I27)</f>
        <v>606988800000</v>
      </c>
    </row>
    <row r="35" spans="1:6" x14ac:dyDescent="0.25">
      <c r="A35" t="s">
        <v>55</v>
      </c>
    </row>
    <row r="36" spans="1:6" s="16" customFormat="1" ht="47.25" x14ac:dyDescent="0.25">
      <c r="A36" s="14" t="s">
        <v>2</v>
      </c>
      <c r="B36" s="14" t="s">
        <v>47</v>
      </c>
      <c r="C36" s="15" t="s">
        <v>51</v>
      </c>
      <c r="D36" s="15" t="s">
        <v>52</v>
      </c>
      <c r="E36" s="15" t="s">
        <v>53</v>
      </c>
      <c r="F36" s="15" t="s">
        <v>54</v>
      </c>
    </row>
    <row r="37" spans="1:6" ht="15.75" x14ac:dyDescent="0.25">
      <c r="A37" s="13">
        <v>1</v>
      </c>
      <c r="B37" s="13" t="s">
        <v>271</v>
      </c>
      <c r="C37" s="13">
        <v>225</v>
      </c>
      <c r="D37" s="13">
        <f>5*C37</f>
        <v>1125</v>
      </c>
      <c r="E37" s="13">
        <f>22*C37</f>
        <v>4950</v>
      </c>
      <c r="F37" s="13">
        <f>264*C37</f>
        <v>59400</v>
      </c>
    </row>
    <row r="39" spans="1:6" x14ac:dyDescent="0.25">
      <c r="A39" t="s">
        <v>57</v>
      </c>
    </row>
    <row r="40" spans="1:6" ht="47.25" x14ac:dyDescent="0.25">
      <c r="A40" s="14" t="s">
        <v>2</v>
      </c>
      <c r="B40" s="14" t="s">
        <v>47</v>
      </c>
      <c r="C40" s="15" t="s">
        <v>56</v>
      </c>
      <c r="D40" s="15" t="s">
        <v>48</v>
      </c>
      <c r="E40" s="15" t="s">
        <v>49</v>
      </c>
      <c r="F40" s="15" t="s">
        <v>50</v>
      </c>
    </row>
    <row r="41" spans="1:6" ht="15.75" x14ac:dyDescent="0.25">
      <c r="A41" s="13">
        <v>1</v>
      </c>
      <c r="B41" s="13" t="s">
        <v>271</v>
      </c>
      <c r="C41" s="13">
        <v>974</v>
      </c>
      <c r="D41" s="13">
        <f>5*C41</f>
        <v>4870</v>
      </c>
      <c r="E41" s="13">
        <f>22*C41</f>
        <v>21428</v>
      </c>
      <c r="F41" s="13">
        <f>264*C41</f>
        <v>257136</v>
      </c>
    </row>
    <row r="43" spans="1:6" x14ac:dyDescent="0.25">
      <c r="A43" t="s">
        <v>58</v>
      </c>
    </row>
    <row r="44" spans="1:6" s="16" customFormat="1" ht="45" x14ac:dyDescent="0.25">
      <c r="A44" s="11" t="s">
        <v>2</v>
      </c>
      <c r="B44" s="11" t="s">
        <v>40</v>
      </c>
      <c r="C44" s="18" t="s">
        <v>59</v>
      </c>
      <c r="D44" s="18" t="s">
        <v>60</v>
      </c>
      <c r="E44" s="18" t="s">
        <v>61</v>
      </c>
      <c r="F44" s="18" t="s">
        <v>62</v>
      </c>
    </row>
    <row r="45" spans="1:6" ht="15.75" x14ac:dyDescent="0.25">
      <c r="A45">
        <v>1</v>
      </c>
      <c r="B45" t="s">
        <v>262</v>
      </c>
      <c r="C45">
        <f>16*15000</f>
        <v>240000</v>
      </c>
      <c r="D45" s="13">
        <f>5*C45</f>
        <v>1200000</v>
      </c>
      <c r="E45" s="13">
        <f>22*C45</f>
        <v>5280000</v>
      </c>
      <c r="F45" s="13">
        <f>264*C45</f>
        <v>63360000</v>
      </c>
    </row>
    <row r="46" spans="1:6" ht="15.75" x14ac:dyDescent="0.25">
      <c r="A46">
        <v>2</v>
      </c>
      <c r="B46" t="s">
        <v>263</v>
      </c>
      <c r="C46">
        <f>8*15000</f>
        <v>120000</v>
      </c>
      <c r="D46" s="13">
        <f t="shared" ref="D46:D47" si="3">5*C46</f>
        <v>600000</v>
      </c>
      <c r="E46" s="13">
        <f t="shared" ref="E46:E47" si="4">22*C46</f>
        <v>2640000</v>
      </c>
      <c r="F46" s="13">
        <f t="shared" ref="F46:F47" si="5">264*C46</f>
        <v>31680000</v>
      </c>
    </row>
    <row r="47" spans="1:6" ht="15.75" x14ac:dyDescent="0.25">
      <c r="A47">
        <v>3</v>
      </c>
      <c r="B47" s="4" t="s">
        <v>264</v>
      </c>
      <c r="C47">
        <f>64*15000</f>
        <v>960000</v>
      </c>
      <c r="D47" s="13">
        <f t="shared" si="3"/>
        <v>4800000</v>
      </c>
      <c r="E47" s="13">
        <f t="shared" si="4"/>
        <v>21120000</v>
      </c>
      <c r="F47" s="13">
        <f t="shared" si="5"/>
        <v>253440000</v>
      </c>
    </row>
    <row r="50" spans="1:6" x14ac:dyDescent="0.25">
      <c r="A50" t="s">
        <v>58</v>
      </c>
    </row>
    <row r="51" spans="1:6" ht="45" x14ac:dyDescent="0.25">
      <c r="A51" s="11" t="s">
        <v>2</v>
      </c>
      <c r="B51" s="11" t="s">
        <v>40</v>
      </c>
      <c r="C51" s="18" t="s">
        <v>63</v>
      </c>
      <c r="D51" s="18" t="s">
        <v>64</v>
      </c>
      <c r="E51" s="18" t="s">
        <v>65</v>
      </c>
      <c r="F51" s="18" t="s">
        <v>66</v>
      </c>
    </row>
    <row r="52" spans="1:6" ht="15.75" x14ac:dyDescent="0.25">
      <c r="A52">
        <v>1</v>
      </c>
      <c r="B52" t="s">
        <v>262</v>
      </c>
      <c r="C52">
        <f>(16*15000)/1000</f>
        <v>240</v>
      </c>
      <c r="D52" s="13">
        <f>5*C52</f>
        <v>1200</v>
      </c>
      <c r="E52" s="13">
        <f>22*C52</f>
        <v>5280</v>
      </c>
      <c r="F52" s="13">
        <f>264*C52</f>
        <v>63360</v>
      </c>
    </row>
    <row r="53" spans="1:6" ht="15.75" x14ac:dyDescent="0.25">
      <c r="A53">
        <v>2</v>
      </c>
      <c r="B53" t="s">
        <v>263</v>
      </c>
      <c r="C53">
        <f>(8*15000)/1000</f>
        <v>120</v>
      </c>
      <c r="D53" s="13">
        <f t="shared" ref="D53:D54" si="6">5*C53</f>
        <v>600</v>
      </c>
      <c r="E53" s="13">
        <f t="shared" ref="E53:E54" si="7">22*C53</f>
        <v>2640</v>
      </c>
      <c r="F53" s="13">
        <f t="shared" ref="F53:F54" si="8">264*C53</f>
        <v>31680</v>
      </c>
    </row>
    <row r="54" spans="1:6" ht="15.75" x14ac:dyDescent="0.25">
      <c r="A54">
        <v>3</v>
      </c>
      <c r="B54" s="4" t="s">
        <v>264</v>
      </c>
      <c r="C54">
        <f>(64*15000)/1000</f>
        <v>960</v>
      </c>
      <c r="D54" s="13">
        <f t="shared" si="6"/>
        <v>4800</v>
      </c>
      <c r="E54" s="13">
        <f t="shared" si="7"/>
        <v>21120</v>
      </c>
      <c r="F54" s="13">
        <f t="shared" si="8"/>
        <v>253440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1" sqref="B11"/>
    </sheetView>
  </sheetViews>
  <sheetFormatPr defaultRowHeight="15" x14ac:dyDescent="0.25"/>
  <sheetData>
    <row r="1" spans="1:2" x14ac:dyDescent="0.25">
      <c r="A1" t="s">
        <v>29</v>
      </c>
      <c r="B1" s="9" t="s">
        <v>244</v>
      </c>
    </row>
    <row r="2" spans="1:2" x14ac:dyDescent="0.25">
      <c r="A2" t="s">
        <v>246</v>
      </c>
      <c r="B2" s="9" t="s">
        <v>247</v>
      </c>
    </row>
    <row r="3" spans="1:2" x14ac:dyDescent="0.25">
      <c r="A3" t="s">
        <v>249</v>
      </c>
      <c r="B3" s="9" t="s">
        <v>250</v>
      </c>
    </row>
    <row r="4" spans="1:2" x14ac:dyDescent="0.25">
      <c r="A4" t="s">
        <v>252</v>
      </c>
      <c r="B4" s="9" t="s">
        <v>253</v>
      </c>
    </row>
    <row r="5" spans="1:2" x14ac:dyDescent="0.25">
      <c r="A5" t="s">
        <v>254</v>
      </c>
      <c r="B5" s="9" t="s">
        <v>255</v>
      </c>
    </row>
    <row r="6" spans="1:2" x14ac:dyDescent="0.25">
      <c r="A6" t="s">
        <v>257</v>
      </c>
      <c r="B6" s="9" t="s">
        <v>258</v>
      </c>
    </row>
    <row r="7" spans="1:2" x14ac:dyDescent="0.25">
      <c r="A7" t="s">
        <v>262</v>
      </c>
      <c r="B7" s="9" t="s">
        <v>265</v>
      </c>
    </row>
    <row r="8" spans="1:2" x14ac:dyDescent="0.25">
      <c r="A8" t="s">
        <v>263</v>
      </c>
      <c r="B8" s="9" t="s">
        <v>266</v>
      </c>
    </row>
    <row r="9" spans="1:2" x14ac:dyDescent="0.25">
      <c r="A9" t="s">
        <v>264</v>
      </c>
      <c r="B9" t="s">
        <v>267</v>
      </c>
    </row>
    <row r="10" spans="1:2" x14ac:dyDescent="0.25">
      <c r="A10" t="s">
        <v>274</v>
      </c>
      <c r="B10" s="9" t="s">
        <v>275</v>
      </c>
    </row>
  </sheetData>
  <hyperlinks>
    <hyperlink ref="B1" r:id="rId1"/>
    <hyperlink ref="B2" r:id="rId2"/>
    <hyperlink ref="B3" r:id="rId3"/>
    <hyperlink ref="B4" r:id="rId4"/>
    <hyperlink ref="B5" r:id="rId5"/>
    <hyperlink ref="B6" r:id="rId6"/>
    <hyperlink ref="B7" r:id="rId7"/>
    <hyperlink ref="B8" r:id="rId8"/>
    <hyperlink ref="B10" r:id="rId9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opLeftCell="A22" workbookViewId="0">
      <selection activeCell="A36" sqref="A36:E36"/>
    </sheetView>
  </sheetViews>
  <sheetFormatPr defaultRowHeight="15" x14ac:dyDescent="0.25"/>
  <cols>
    <col min="1" max="1" width="3.5703125" bestFit="1" customWidth="1"/>
    <col min="2" max="2" width="31" customWidth="1"/>
    <col min="3" max="3" width="14.5703125" bestFit="1" customWidth="1"/>
    <col min="4" max="4" width="17.7109375" bestFit="1" customWidth="1"/>
    <col min="5" max="5" width="8.7109375" bestFit="1" customWidth="1"/>
    <col min="6" max="6" width="17.7109375" bestFit="1" customWidth="1"/>
    <col min="7" max="7" width="21.42578125" bestFit="1" customWidth="1"/>
    <col min="8" max="8" width="27.140625" bestFit="1" customWidth="1"/>
    <col min="9" max="9" width="26.5703125" bestFit="1" customWidth="1"/>
    <col min="10" max="10" width="16.85546875" bestFit="1" customWidth="1"/>
    <col min="11" max="11" width="21.42578125" bestFit="1" customWidth="1"/>
    <col min="12" max="12" width="17" bestFit="1" customWidth="1"/>
    <col min="13" max="13" width="22.42578125" bestFit="1" customWidth="1"/>
  </cols>
  <sheetData>
    <row r="1" spans="1:13" x14ac:dyDescent="0.25">
      <c r="A1" s="115" t="s">
        <v>272</v>
      </c>
      <c r="B1" s="115"/>
      <c r="C1" s="115"/>
      <c r="D1" s="115"/>
      <c r="E1" s="115"/>
      <c r="F1" s="115"/>
      <c r="G1" s="115"/>
      <c r="H1" s="115"/>
      <c r="I1" s="115"/>
    </row>
    <row r="2" spans="1:13" x14ac:dyDescent="0.25">
      <c r="A2" s="116" t="s">
        <v>67</v>
      </c>
      <c r="B2" s="116"/>
      <c r="C2" s="116"/>
      <c r="D2" s="116"/>
      <c r="E2" s="116"/>
      <c r="F2" s="116"/>
      <c r="G2" s="116"/>
      <c r="H2" s="116"/>
      <c r="I2" s="116"/>
    </row>
    <row r="3" spans="1:13" x14ac:dyDescent="0.25">
      <c r="A3" s="116" t="s">
        <v>1</v>
      </c>
      <c r="B3" s="116"/>
      <c r="C3" s="116"/>
      <c r="D3" s="116"/>
      <c r="E3" s="116"/>
      <c r="F3" s="116"/>
      <c r="G3" s="116"/>
      <c r="H3" s="116"/>
      <c r="I3" s="116"/>
    </row>
    <row r="4" spans="1:13" x14ac:dyDescent="0.25">
      <c r="A4" s="26" t="s">
        <v>2</v>
      </c>
      <c r="B4" s="26" t="s">
        <v>3</v>
      </c>
      <c r="C4" s="26" t="s">
        <v>68</v>
      </c>
      <c r="D4" s="26" t="s">
        <v>70</v>
      </c>
      <c r="E4" s="26" t="s">
        <v>72</v>
      </c>
      <c r="F4" s="26" t="s">
        <v>69</v>
      </c>
      <c r="G4" s="26" t="s">
        <v>71</v>
      </c>
    </row>
    <row r="5" spans="1:13" x14ac:dyDescent="0.25">
      <c r="A5" s="27">
        <v>1</v>
      </c>
      <c r="B5" s="19" t="s">
        <v>243</v>
      </c>
      <c r="C5" s="28">
        <v>51.21</v>
      </c>
      <c r="D5" s="21">
        <v>798000</v>
      </c>
      <c r="E5" s="97">
        <v>3</v>
      </c>
      <c r="F5" s="28">
        <f>E5*C5</f>
        <v>153.63</v>
      </c>
      <c r="G5" s="29">
        <f t="shared" ref="G5:G10" si="0">D5*E5</f>
        <v>2394000</v>
      </c>
    </row>
    <row r="6" spans="1:13" x14ac:dyDescent="0.25">
      <c r="A6" s="27">
        <v>2</v>
      </c>
      <c r="B6" s="19" t="s">
        <v>245</v>
      </c>
      <c r="C6" s="28">
        <v>1.48</v>
      </c>
      <c r="D6" s="103">
        <v>23000</v>
      </c>
      <c r="E6" s="97">
        <v>2</v>
      </c>
      <c r="F6" s="28">
        <f t="shared" ref="F6:F10" si="1">E6*C6</f>
        <v>2.96</v>
      </c>
      <c r="G6" s="29">
        <f t="shared" si="0"/>
        <v>46000</v>
      </c>
    </row>
    <row r="7" spans="1:13" x14ac:dyDescent="0.25">
      <c r="A7" s="27">
        <v>3</v>
      </c>
      <c r="B7" s="19" t="s">
        <v>248</v>
      </c>
      <c r="C7" s="28">
        <v>17.649999999999999</v>
      </c>
      <c r="D7" s="21">
        <v>275000</v>
      </c>
      <c r="E7" s="97">
        <v>3</v>
      </c>
      <c r="F7" s="28">
        <f t="shared" si="1"/>
        <v>52.949999999999996</v>
      </c>
      <c r="G7" s="29">
        <f t="shared" si="0"/>
        <v>825000</v>
      </c>
    </row>
    <row r="8" spans="1:13" x14ac:dyDescent="0.25">
      <c r="A8" s="27">
        <v>4</v>
      </c>
      <c r="B8" s="19" t="s">
        <v>251</v>
      </c>
      <c r="C8" s="28">
        <v>28.88</v>
      </c>
      <c r="D8" s="21">
        <v>450000</v>
      </c>
      <c r="E8" s="97">
        <v>1</v>
      </c>
      <c r="F8" s="28">
        <f t="shared" si="1"/>
        <v>28.88</v>
      </c>
      <c r="G8" s="29">
        <f t="shared" si="0"/>
        <v>450000</v>
      </c>
    </row>
    <row r="9" spans="1:13" x14ac:dyDescent="0.25">
      <c r="A9" s="27">
        <v>5</v>
      </c>
      <c r="B9" s="19" t="s">
        <v>254</v>
      </c>
      <c r="C9" s="28">
        <v>2031.12</v>
      </c>
      <c r="D9" s="21">
        <v>31650000</v>
      </c>
      <c r="E9" s="97">
        <v>1</v>
      </c>
      <c r="F9" s="28">
        <f t="shared" si="1"/>
        <v>2031.12</v>
      </c>
      <c r="G9" s="29">
        <f t="shared" si="0"/>
        <v>31650000</v>
      </c>
    </row>
    <row r="10" spans="1:13" x14ac:dyDescent="0.25">
      <c r="A10" s="27">
        <v>6</v>
      </c>
      <c r="B10" s="22" t="s">
        <v>256</v>
      </c>
      <c r="C10" s="28">
        <v>0.53</v>
      </c>
      <c r="D10" s="21">
        <v>8300</v>
      </c>
      <c r="E10" s="97">
        <v>974</v>
      </c>
      <c r="F10" s="28">
        <f t="shared" si="1"/>
        <v>516.22</v>
      </c>
      <c r="G10" s="29">
        <f t="shared" si="0"/>
        <v>8084200</v>
      </c>
    </row>
    <row r="11" spans="1:13" ht="15" customHeight="1" x14ac:dyDescent="0.25">
      <c r="A11" s="117" t="s">
        <v>30</v>
      </c>
      <c r="B11" s="118"/>
      <c r="C11" s="118"/>
      <c r="D11" s="118"/>
      <c r="E11" s="119"/>
      <c r="F11" s="30">
        <f>SUM(F5:F10)</f>
        <v>2785.76</v>
      </c>
      <c r="G11" s="31">
        <f>SUM(G5:G10)</f>
        <v>43449200</v>
      </c>
    </row>
    <row r="14" spans="1:13" x14ac:dyDescent="0.25">
      <c r="A14" s="116" t="s">
        <v>73</v>
      </c>
      <c r="B14" s="116"/>
      <c r="C14" s="116"/>
      <c r="D14" s="116"/>
      <c r="E14" s="116"/>
      <c r="F14" s="116"/>
      <c r="G14" s="116"/>
      <c r="H14" s="116"/>
      <c r="I14" s="116"/>
    </row>
    <row r="15" spans="1:13" x14ac:dyDescent="0.25">
      <c r="A15" s="116" t="s">
        <v>74</v>
      </c>
      <c r="B15" s="116"/>
      <c r="C15" s="116"/>
      <c r="D15" s="116"/>
      <c r="E15" s="116"/>
      <c r="F15" s="116"/>
      <c r="G15" s="116"/>
      <c r="H15" s="116"/>
      <c r="I15" s="116"/>
    </row>
    <row r="16" spans="1:13" x14ac:dyDescent="0.25">
      <c r="A16" s="32" t="s">
        <v>2</v>
      </c>
      <c r="B16" s="32" t="s">
        <v>3</v>
      </c>
      <c r="C16" s="32" t="s">
        <v>75</v>
      </c>
      <c r="D16" s="32" t="s">
        <v>76</v>
      </c>
      <c r="E16" s="32" t="s">
        <v>77</v>
      </c>
      <c r="F16" s="32" t="s">
        <v>78</v>
      </c>
      <c r="G16" s="32" t="s">
        <v>82</v>
      </c>
      <c r="H16" s="32" t="s">
        <v>79</v>
      </c>
      <c r="I16" s="32" t="s">
        <v>83</v>
      </c>
      <c r="J16" s="32" t="s">
        <v>80</v>
      </c>
      <c r="K16" s="32" t="s">
        <v>84</v>
      </c>
      <c r="L16" s="32" t="s">
        <v>81</v>
      </c>
      <c r="M16" s="32" t="s">
        <v>85</v>
      </c>
    </row>
    <row r="17" spans="1:13" x14ac:dyDescent="0.25">
      <c r="A17" s="25">
        <v>1</v>
      </c>
      <c r="B17" s="22" t="s">
        <v>262</v>
      </c>
      <c r="C17" s="37">
        <v>385.05</v>
      </c>
      <c r="D17" s="21">
        <v>6000000</v>
      </c>
      <c r="E17" s="97">
        <v>240</v>
      </c>
      <c r="F17" s="33">
        <f>E17*C17</f>
        <v>92412</v>
      </c>
      <c r="G17" s="29">
        <f>E17*D17</f>
        <v>1440000000</v>
      </c>
      <c r="H17" s="33">
        <f>5*F17</f>
        <v>462060</v>
      </c>
      <c r="I17" s="29">
        <f>5*G17</f>
        <v>7200000000</v>
      </c>
      <c r="J17" s="33">
        <f>22*F17</f>
        <v>2033064</v>
      </c>
      <c r="K17" s="29">
        <f>22*G17</f>
        <v>31680000000</v>
      </c>
      <c r="L17" s="33">
        <f>264*F17</f>
        <v>24396768</v>
      </c>
      <c r="M17" s="29">
        <f>264*G17</f>
        <v>380160000000</v>
      </c>
    </row>
    <row r="18" spans="1:13" x14ac:dyDescent="0.25">
      <c r="A18" s="25">
        <v>2</v>
      </c>
      <c r="B18" s="22" t="s">
        <v>263</v>
      </c>
      <c r="C18" s="37">
        <v>449.22</v>
      </c>
      <c r="D18" s="21">
        <v>7000000</v>
      </c>
      <c r="E18" s="105">
        <v>120</v>
      </c>
      <c r="F18" s="33">
        <f t="shared" ref="F18:F19" si="2">E18*C18</f>
        <v>53906.400000000001</v>
      </c>
      <c r="G18" s="29">
        <f t="shared" ref="G18:G19" si="3">E18*D18</f>
        <v>840000000</v>
      </c>
      <c r="H18" s="33">
        <f t="shared" ref="H18:H19" si="4">5*F18</f>
        <v>269532</v>
      </c>
      <c r="I18" s="29">
        <f t="shared" ref="I18:I19" si="5">5*G18</f>
        <v>4200000000</v>
      </c>
      <c r="J18" s="33">
        <f t="shared" ref="J18:J19" si="6">22*F18</f>
        <v>1185940.8</v>
      </c>
      <c r="K18" s="29">
        <f t="shared" ref="K18:K19" si="7">22*G18</f>
        <v>18480000000</v>
      </c>
      <c r="L18" s="33">
        <f>264*F18</f>
        <v>14231289.6</v>
      </c>
      <c r="M18" s="29">
        <f t="shared" ref="M18:M19" si="8">264*G18</f>
        <v>221760000000</v>
      </c>
    </row>
    <row r="19" spans="1:13" x14ac:dyDescent="0.25">
      <c r="A19" s="25">
        <v>3</v>
      </c>
      <c r="B19" s="104" t="s">
        <v>264</v>
      </c>
      <c r="C19" s="37">
        <v>1.28</v>
      </c>
      <c r="D19" s="21">
        <v>20000</v>
      </c>
      <c r="E19" s="105">
        <v>960</v>
      </c>
      <c r="F19" s="33">
        <f t="shared" si="2"/>
        <v>1228.8</v>
      </c>
      <c r="G19" s="29">
        <f t="shared" si="3"/>
        <v>19200000</v>
      </c>
      <c r="H19" s="33">
        <f t="shared" si="4"/>
        <v>6144</v>
      </c>
      <c r="I19" s="29">
        <f t="shared" si="5"/>
        <v>96000000</v>
      </c>
      <c r="J19" s="33">
        <f t="shared" si="6"/>
        <v>27033.599999999999</v>
      </c>
      <c r="K19" s="29">
        <f t="shared" si="7"/>
        <v>422400000</v>
      </c>
      <c r="L19" s="33">
        <f t="shared" ref="L19" si="9">264*F19</f>
        <v>324403.20000000001</v>
      </c>
      <c r="M19" s="29">
        <f t="shared" si="8"/>
        <v>5068800000</v>
      </c>
    </row>
    <row r="20" spans="1:13" x14ac:dyDescent="0.25">
      <c r="A20" s="114" t="s">
        <v>30</v>
      </c>
      <c r="B20" s="114"/>
      <c r="C20" s="114"/>
      <c r="D20" s="114"/>
      <c r="E20" s="114"/>
      <c r="F20" s="34">
        <f t="shared" ref="F20:M20" si="10">SUM(F17:F19)</f>
        <v>147547.19999999998</v>
      </c>
      <c r="G20" s="24">
        <f t="shared" si="10"/>
        <v>2299200000</v>
      </c>
      <c r="H20" s="34">
        <f t="shared" si="10"/>
        <v>737736</v>
      </c>
      <c r="I20" s="24">
        <f t="shared" si="10"/>
        <v>11496000000</v>
      </c>
      <c r="J20" s="34">
        <f t="shared" si="10"/>
        <v>3246038.4</v>
      </c>
      <c r="K20" s="24">
        <f t="shared" si="10"/>
        <v>50582400000</v>
      </c>
      <c r="L20" s="34">
        <f t="shared" si="10"/>
        <v>38952460.800000004</v>
      </c>
      <c r="M20" s="24">
        <f t="shared" si="10"/>
        <v>606988800000</v>
      </c>
    </row>
    <row r="21" spans="1:13" s="16" customFormat="1" x14ac:dyDescent="0.25">
      <c r="A21" s="64"/>
      <c r="B21" s="64"/>
      <c r="C21" s="64"/>
      <c r="D21" s="64"/>
      <c r="E21" s="64"/>
      <c r="F21" s="65">
        <f>F20/18750</f>
        <v>7.8691839999999988</v>
      </c>
      <c r="G21" s="66">
        <f>G20/18750</f>
        <v>122624</v>
      </c>
      <c r="H21" s="65">
        <f t="shared" ref="H21:M21" si="11">H20/18750</f>
        <v>39.34592</v>
      </c>
      <c r="I21" s="66">
        <f t="shared" si="11"/>
        <v>613120</v>
      </c>
      <c r="J21" s="65">
        <f t="shared" si="11"/>
        <v>173.12204800000001</v>
      </c>
      <c r="K21" s="66">
        <f t="shared" si="11"/>
        <v>2697728</v>
      </c>
      <c r="L21" s="65">
        <f t="shared" si="11"/>
        <v>2077.4645760000003</v>
      </c>
      <c r="M21" s="66">
        <f t="shared" si="11"/>
        <v>32372736</v>
      </c>
    </row>
    <row r="22" spans="1:13" s="16" customFormat="1" x14ac:dyDescent="0.25">
      <c r="A22" s="64"/>
      <c r="B22" s="64"/>
      <c r="C22" s="64"/>
      <c r="D22" s="64"/>
      <c r="E22" s="64"/>
      <c r="F22" s="65"/>
      <c r="G22" s="66"/>
      <c r="H22" s="65"/>
      <c r="I22" s="66"/>
      <c r="J22" s="65"/>
      <c r="K22" s="66"/>
      <c r="L22" s="65"/>
      <c r="M22" s="66"/>
    </row>
    <row r="25" spans="1:13" x14ac:dyDescent="0.25">
      <c r="A25" s="116" t="s">
        <v>86</v>
      </c>
      <c r="B25" s="116"/>
      <c r="C25" s="116"/>
      <c r="D25" s="116"/>
      <c r="E25" s="116"/>
      <c r="F25" s="116"/>
      <c r="G25" s="116"/>
      <c r="H25" s="116"/>
      <c r="I25" s="116"/>
    </row>
    <row r="26" spans="1:13" x14ac:dyDescent="0.25">
      <c r="A26" s="32" t="s">
        <v>2</v>
      </c>
      <c r="B26" s="32" t="s">
        <v>3</v>
      </c>
      <c r="C26" s="32" t="s">
        <v>72</v>
      </c>
      <c r="D26" s="32" t="s">
        <v>32</v>
      </c>
      <c r="E26" s="32" t="s">
        <v>33</v>
      </c>
      <c r="F26" s="32" t="s">
        <v>34</v>
      </c>
      <c r="G26" s="32" t="s">
        <v>35</v>
      </c>
      <c r="H26" s="32" t="s">
        <v>39</v>
      </c>
      <c r="I26" s="32" t="s">
        <v>36</v>
      </c>
      <c r="J26" s="32" t="s">
        <v>37</v>
      </c>
      <c r="K26" s="32" t="s">
        <v>38</v>
      </c>
    </row>
    <row r="27" spans="1:13" x14ac:dyDescent="0.25">
      <c r="A27" s="25">
        <v>1</v>
      </c>
      <c r="B27" s="22" t="s">
        <v>260</v>
      </c>
      <c r="C27" s="25">
        <v>3</v>
      </c>
      <c r="D27" s="97">
        <v>0.2</v>
      </c>
      <c r="E27" s="25">
        <v>8</v>
      </c>
      <c r="F27" s="97">
        <v>1.6</v>
      </c>
      <c r="G27" s="21">
        <v>1444.7</v>
      </c>
      <c r="H27" s="21">
        <f>G27*F27</f>
        <v>2311.52</v>
      </c>
      <c r="I27" s="21">
        <f>5*H27</f>
        <v>11557.6</v>
      </c>
      <c r="J27" s="21">
        <f>22*H27</f>
        <v>50853.440000000002</v>
      </c>
      <c r="K27" s="21">
        <f>264*H27</f>
        <v>610241.28000000003</v>
      </c>
    </row>
    <row r="28" spans="1:13" x14ac:dyDescent="0.25">
      <c r="A28" s="25">
        <v>2</v>
      </c>
      <c r="B28" s="22" t="s">
        <v>261</v>
      </c>
      <c r="C28" s="25">
        <v>1</v>
      </c>
      <c r="D28" s="97">
        <v>0.85</v>
      </c>
      <c r="E28" s="25">
        <v>8</v>
      </c>
      <c r="F28" s="97">
        <v>6.8</v>
      </c>
      <c r="G28" s="21">
        <v>1444.7</v>
      </c>
      <c r="H28" s="21">
        <f>G28*F28</f>
        <v>9823.9600000000009</v>
      </c>
      <c r="I28" s="21">
        <f>5*H28</f>
        <v>49119.8</v>
      </c>
      <c r="J28" s="21">
        <f>22*H28</f>
        <v>216127.12000000002</v>
      </c>
      <c r="K28" s="21">
        <f>264*H28</f>
        <v>2593525.4400000004</v>
      </c>
    </row>
    <row r="29" spans="1:13" x14ac:dyDescent="0.25">
      <c r="A29" s="114" t="s">
        <v>87</v>
      </c>
      <c r="B29" s="114"/>
      <c r="C29" s="114"/>
      <c r="D29" s="114"/>
      <c r="E29" s="114"/>
      <c r="F29" s="114"/>
      <c r="G29" s="114"/>
      <c r="H29" s="24">
        <f>SUM(H27:H28)</f>
        <v>12135.480000000001</v>
      </c>
      <c r="I29" s="24">
        <f>SUM(I27:I28)</f>
        <v>60677.4</v>
      </c>
      <c r="J29" s="24">
        <f>SUM(J27:J28)</f>
        <v>266980.56000000006</v>
      </c>
      <c r="K29" s="24">
        <f>SUM(K27:K28)</f>
        <v>3203766.7200000007</v>
      </c>
    </row>
    <row r="30" spans="1:13" x14ac:dyDescent="0.25">
      <c r="A30" s="114" t="s">
        <v>88</v>
      </c>
      <c r="B30" s="114"/>
      <c r="C30" s="114"/>
      <c r="D30" s="114"/>
      <c r="E30" s="114"/>
      <c r="F30" s="114"/>
      <c r="G30" s="114"/>
      <c r="H30" s="23">
        <v>0.78</v>
      </c>
      <c r="I30" s="23">
        <v>3.89</v>
      </c>
      <c r="J30" s="23">
        <v>17.13</v>
      </c>
      <c r="K30" s="23">
        <v>205.6</v>
      </c>
    </row>
    <row r="33" spans="1:13" x14ac:dyDescent="0.25">
      <c r="A33" s="116" t="s">
        <v>89</v>
      </c>
      <c r="B33" s="116"/>
      <c r="C33" s="116"/>
      <c r="D33" s="116"/>
      <c r="E33" s="116"/>
      <c r="F33" s="116"/>
      <c r="G33" s="116"/>
      <c r="H33" s="116"/>
      <c r="I33" s="116"/>
    </row>
    <row r="34" spans="1:13" x14ac:dyDescent="0.25">
      <c r="A34" s="32" t="s">
        <v>2</v>
      </c>
      <c r="B34" s="32" t="s">
        <v>3</v>
      </c>
      <c r="C34" s="32" t="s">
        <v>68</v>
      </c>
      <c r="D34" s="32" t="s">
        <v>70</v>
      </c>
      <c r="E34" s="32" t="s">
        <v>72</v>
      </c>
      <c r="F34" s="32" t="s">
        <v>78</v>
      </c>
      <c r="G34" s="32" t="s">
        <v>82</v>
      </c>
      <c r="H34" s="32" t="s">
        <v>79</v>
      </c>
      <c r="I34" s="32" t="s">
        <v>83</v>
      </c>
      <c r="J34" s="32" t="s">
        <v>80</v>
      </c>
      <c r="K34" s="32" t="s">
        <v>84</v>
      </c>
      <c r="L34" s="32" t="s">
        <v>81</v>
      </c>
      <c r="M34" s="32" t="s">
        <v>85</v>
      </c>
    </row>
    <row r="35" spans="1:13" ht="15.75" x14ac:dyDescent="0.25">
      <c r="A35" s="25">
        <v>1</v>
      </c>
      <c r="B35" s="22" t="s">
        <v>273</v>
      </c>
      <c r="C35" s="20">
        <v>5.6000000000000001E-2</v>
      </c>
      <c r="D35" s="21">
        <v>875</v>
      </c>
      <c r="E35" s="36">
        <v>15000</v>
      </c>
      <c r="F35" s="20">
        <f>E35*C35</f>
        <v>840</v>
      </c>
      <c r="G35" s="21">
        <f>E35*D35</f>
        <v>13125000</v>
      </c>
      <c r="H35" s="33">
        <f>5*F35</f>
        <v>4200</v>
      </c>
      <c r="I35" s="29">
        <f>5*G35</f>
        <v>65625000</v>
      </c>
      <c r="J35" s="33">
        <f>22*F35</f>
        <v>18480</v>
      </c>
      <c r="K35" s="29">
        <f>22*G35</f>
        <v>288750000</v>
      </c>
      <c r="L35" s="33">
        <f>264*F35</f>
        <v>221760</v>
      </c>
      <c r="M35" s="29">
        <f>264*G35</f>
        <v>3465000000</v>
      </c>
    </row>
    <row r="36" spans="1:13" x14ac:dyDescent="0.25">
      <c r="A36" s="114" t="s">
        <v>30</v>
      </c>
      <c r="B36" s="114"/>
      <c r="C36" s="114"/>
      <c r="D36" s="114"/>
      <c r="E36" s="114"/>
      <c r="F36" s="23">
        <f t="shared" ref="F36:M36" si="12">SUM(F35)</f>
        <v>840</v>
      </c>
      <c r="G36" s="24">
        <f t="shared" si="12"/>
        <v>13125000</v>
      </c>
      <c r="H36" s="34">
        <f t="shared" si="12"/>
        <v>4200</v>
      </c>
      <c r="I36" s="24">
        <f t="shared" si="12"/>
        <v>65625000</v>
      </c>
      <c r="J36" s="34">
        <f t="shared" si="12"/>
        <v>18480</v>
      </c>
      <c r="K36" s="24">
        <f t="shared" si="12"/>
        <v>288750000</v>
      </c>
      <c r="L36" s="34">
        <f t="shared" si="12"/>
        <v>221760</v>
      </c>
      <c r="M36" s="24">
        <f t="shared" si="12"/>
        <v>3465000000</v>
      </c>
    </row>
  </sheetData>
  <mergeCells count="12">
    <mergeCell ref="A36:E36"/>
    <mergeCell ref="A1:I1"/>
    <mergeCell ref="A2:I2"/>
    <mergeCell ref="A3:I3"/>
    <mergeCell ref="A14:I14"/>
    <mergeCell ref="A15:I15"/>
    <mergeCell ref="A11:E11"/>
    <mergeCell ref="A20:E20"/>
    <mergeCell ref="A25:I25"/>
    <mergeCell ref="A29:G29"/>
    <mergeCell ref="A30:G30"/>
    <mergeCell ref="A33:I33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E32" sqref="E32"/>
    </sheetView>
  </sheetViews>
  <sheetFormatPr defaultRowHeight="15" x14ac:dyDescent="0.25"/>
  <cols>
    <col min="1" max="1" width="42.28515625" bestFit="1" customWidth="1"/>
    <col min="3" max="3" width="15" customWidth="1"/>
    <col min="5" max="5" width="42.85546875" customWidth="1"/>
    <col min="6" max="6" width="7.85546875" customWidth="1"/>
    <col min="7" max="7" width="12.7109375" customWidth="1"/>
    <col min="9" max="9" width="43" customWidth="1"/>
    <col min="11" max="11" width="12.85546875" customWidth="1"/>
  </cols>
  <sheetData>
    <row r="1" spans="1:11" ht="40.5" customHeight="1" x14ac:dyDescent="0.25">
      <c r="A1" s="120" t="s">
        <v>276</v>
      </c>
      <c r="B1" s="121"/>
      <c r="C1" s="121"/>
      <c r="D1" s="121"/>
      <c r="E1" s="40"/>
      <c r="F1" s="40"/>
      <c r="G1" s="40"/>
      <c r="H1" s="40"/>
      <c r="I1" s="40"/>
      <c r="J1" s="40"/>
      <c r="K1" s="40"/>
    </row>
    <row r="2" spans="1:11" ht="15.75" x14ac:dyDescent="0.25">
      <c r="A2" s="39" t="s">
        <v>90</v>
      </c>
      <c r="B2" s="39" t="s">
        <v>91</v>
      </c>
      <c r="C2" s="39" t="s">
        <v>92</v>
      </c>
      <c r="E2" s="132" t="s">
        <v>90</v>
      </c>
      <c r="F2" s="132" t="s">
        <v>91</v>
      </c>
      <c r="G2" s="132" t="s">
        <v>92</v>
      </c>
      <c r="I2" s="132" t="s">
        <v>90</v>
      </c>
      <c r="J2" s="132" t="s">
        <v>91</v>
      </c>
    </row>
    <row r="3" spans="1:11" ht="15.75" x14ac:dyDescent="0.25">
      <c r="A3" s="122" t="s">
        <v>93</v>
      </c>
      <c r="B3" s="122"/>
      <c r="C3" s="122"/>
      <c r="E3" s="133" t="s">
        <v>279</v>
      </c>
      <c r="F3" s="133"/>
      <c r="G3" s="133"/>
      <c r="I3" s="132" t="s">
        <v>279</v>
      </c>
      <c r="J3" s="132"/>
    </row>
    <row r="4" spans="1:11" ht="15.75" x14ac:dyDescent="0.25">
      <c r="A4" s="22" t="s">
        <v>277</v>
      </c>
      <c r="B4" s="25">
        <v>1</v>
      </c>
      <c r="C4" s="37">
        <f>'Peralatan, RM dan Utilitas'!F11</f>
        <v>2785.76</v>
      </c>
      <c r="E4" s="134" t="s">
        <v>277</v>
      </c>
      <c r="F4" s="135">
        <v>1</v>
      </c>
      <c r="G4" s="136">
        <f>'Peralatan, RM dan Utilitas'!J11</f>
        <v>0</v>
      </c>
      <c r="I4" s="134" t="s">
        <v>277</v>
      </c>
      <c r="J4" s="135">
        <v>1</v>
      </c>
    </row>
    <row r="5" spans="1:11" ht="15.75" x14ac:dyDescent="0.25">
      <c r="A5" s="22" t="s">
        <v>94</v>
      </c>
      <c r="B5" s="25">
        <v>0.5</v>
      </c>
      <c r="C5" s="37">
        <f>$C$4*B5</f>
        <v>1392.88</v>
      </c>
      <c r="E5" s="134" t="s">
        <v>280</v>
      </c>
      <c r="F5" s="135">
        <v>0.5</v>
      </c>
      <c r="G5" s="136">
        <f>$C$4*F5</f>
        <v>1392.88</v>
      </c>
      <c r="I5" s="134" t="s">
        <v>280</v>
      </c>
      <c r="J5" s="135">
        <v>0.5</v>
      </c>
    </row>
    <row r="6" spans="1:11" ht="15.75" x14ac:dyDescent="0.25">
      <c r="A6" s="22" t="s">
        <v>95</v>
      </c>
      <c r="B6" s="25">
        <v>0.1</v>
      </c>
      <c r="C6" s="37">
        <f>$C$4*B6</f>
        <v>278.57600000000002</v>
      </c>
      <c r="E6" s="134" t="s">
        <v>281</v>
      </c>
      <c r="F6" s="135">
        <v>0.1</v>
      </c>
      <c r="G6" s="136">
        <f>$C$4*F6</f>
        <v>278.57600000000002</v>
      </c>
      <c r="I6" s="134" t="s">
        <v>281</v>
      </c>
      <c r="J6" s="135">
        <v>0.1</v>
      </c>
    </row>
    <row r="7" spans="1:11" ht="15.75" x14ac:dyDescent="0.25">
      <c r="A7" s="22" t="s">
        <v>96</v>
      </c>
      <c r="B7" s="25">
        <v>0.2</v>
      </c>
      <c r="C7" s="37">
        <f>$C$4*B7</f>
        <v>557.15200000000004</v>
      </c>
      <c r="E7" s="134" t="s">
        <v>282</v>
      </c>
      <c r="F7" s="135">
        <v>0.2</v>
      </c>
      <c r="G7" s="136">
        <f>$C$4*F7</f>
        <v>557.15200000000004</v>
      </c>
      <c r="I7" s="134" t="s">
        <v>282</v>
      </c>
      <c r="J7" s="135">
        <v>0.2</v>
      </c>
    </row>
    <row r="8" spans="1:11" ht="15.75" x14ac:dyDescent="0.25">
      <c r="A8" s="22" t="s">
        <v>97</v>
      </c>
      <c r="B8" s="25">
        <v>0.5</v>
      </c>
      <c r="C8" s="37">
        <f t="shared" ref="C8:C15" si="0">$C$4*B8</f>
        <v>1392.88</v>
      </c>
      <c r="E8" s="134" t="s">
        <v>283</v>
      </c>
      <c r="F8" s="135">
        <v>0.5</v>
      </c>
      <c r="G8" s="136">
        <f t="shared" ref="G8:G15" si="1">$C$4*F8</f>
        <v>1392.88</v>
      </c>
      <c r="I8" s="134" t="s">
        <v>283</v>
      </c>
      <c r="J8" s="135">
        <v>0.5</v>
      </c>
    </row>
    <row r="9" spans="1:11" ht="15.75" x14ac:dyDescent="0.25">
      <c r="A9" s="22" t="s">
        <v>98</v>
      </c>
      <c r="B9" s="25">
        <v>0.1</v>
      </c>
      <c r="C9" s="37">
        <f>$C$4*B9</f>
        <v>278.57600000000002</v>
      </c>
      <c r="E9" s="134" t="s">
        <v>284</v>
      </c>
      <c r="F9" s="135">
        <v>0.1</v>
      </c>
      <c r="G9" s="136">
        <f>$C$4*F9</f>
        <v>278.57600000000002</v>
      </c>
      <c r="I9" s="134" t="s">
        <v>284</v>
      </c>
      <c r="J9" s="135">
        <v>0.1</v>
      </c>
    </row>
    <row r="10" spans="1:11" ht="15.75" x14ac:dyDescent="0.25">
      <c r="A10" s="22" t="s">
        <v>99</v>
      </c>
      <c r="B10" s="25">
        <v>0.06</v>
      </c>
      <c r="C10" s="37">
        <f>$C$4*B10</f>
        <v>167.1456</v>
      </c>
      <c r="E10" s="134" t="s">
        <v>285</v>
      </c>
      <c r="F10" s="135">
        <v>0.06</v>
      </c>
      <c r="G10" s="136">
        <f>$C$4*F10</f>
        <v>167.1456</v>
      </c>
      <c r="I10" s="134" t="s">
        <v>285</v>
      </c>
      <c r="J10" s="135">
        <v>0.06</v>
      </c>
    </row>
    <row r="11" spans="1:11" ht="15.75" x14ac:dyDescent="0.25">
      <c r="A11" s="22" t="s">
        <v>100</v>
      </c>
      <c r="B11" s="25">
        <v>0.05</v>
      </c>
      <c r="C11" s="37">
        <f t="shared" si="0"/>
        <v>139.28800000000001</v>
      </c>
      <c r="E11" s="134" t="s">
        <v>286</v>
      </c>
      <c r="F11" s="135">
        <v>0.05</v>
      </c>
      <c r="G11" s="136">
        <f t="shared" ref="G11:G18" si="2">$C$4*F11</f>
        <v>139.28800000000001</v>
      </c>
      <c r="I11" s="134" t="s">
        <v>286</v>
      </c>
      <c r="J11" s="135">
        <v>0.05</v>
      </c>
    </row>
    <row r="12" spans="1:11" ht="15.75" x14ac:dyDescent="0.25">
      <c r="A12" s="22" t="s">
        <v>101</v>
      </c>
      <c r="B12" s="25">
        <v>0.08</v>
      </c>
      <c r="C12" s="37">
        <f t="shared" si="0"/>
        <v>222.86080000000001</v>
      </c>
      <c r="E12" s="134" t="s">
        <v>287</v>
      </c>
      <c r="F12" s="135">
        <v>0.08</v>
      </c>
      <c r="G12" s="136">
        <f t="shared" si="2"/>
        <v>222.86080000000001</v>
      </c>
      <c r="I12" s="134" t="s">
        <v>287</v>
      </c>
      <c r="J12" s="135">
        <v>0.08</v>
      </c>
    </row>
    <row r="13" spans="1:11" ht="15.75" x14ac:dyDescent="0.25">
      <c r="A13" s="22" t="s">
        <v>102</v>
      </c>
      <c r="B13" s="25">
        <v>0.2</v>
      </c>
      <c r="C13" s="37">
        <f t="shared" si="0"/>
        <v>557.15200000000004</v>
      </c>
      <c r="E13" s="134" t="s">
        <v>288</v>
      </c>
      <c r="F13" s="135">
        <v>0.2</v>
      </c>
      <c r="G13" s="136">
        <f t="shared" si="2"/>
        <v>557.15200000000004</v>
      </c>
      <c r="I13" s="134" t="s">
        <v>288</v>
      </c>
      <c r="J13" s="135">
        <v>0.2</v>
      </c>
    </row>
    <row r="14" spans="1:11" ht="15.75" x14ac:dyDescent="0.25">
      <c r="A14" s="22" t="s">
        <v>103</v>
      </c>
      <c r="B14" s="25">
        <v>0.08</v>
      </c>
      <c r="C14" s="37">
        <f t="shared" si="0"/>
        <v>222.86080000000001</v>
      </c>
      <c r="E14" s="134" t="s">
        <v>289</v>
      </c>
      <c r="F14" s="135">
        <v>0.08</v>
      </c>
      <c r="G14" s="136">
        <f t="shared" si="2"/>
        <v>222.86080000000001</v>
      </c>
      <c r="I14" s="134" t="s">
        <v>289</v>
      </c>
      <c r="J14" s="135">
        <v>0.08</v>
      </c>
    </row>
    <row r="15" spans="1:11" ht="15.75" x14ac:dyDescent="0.25">
      <c r="A15" s="22" t="s">
        <v>104</v>
      </c>
      <c r="B15" s="25">
        <v>0.5</v>
      </c>
      <c r="C15" s="37">
        <f t="shared" si="0"/>
        <v>1392.88</v>
      </c>
      <c r="E15" s="134" t="s">
        <v>290</v>
      </c>
      <c r="F15" s="135">
        <v>0.5</v>
      </c>
      <c r="G15" s="136">
        <f t="shared" si="2"/>
        <v>1392.88</v>
      </c>
      <c r="I15" s="134" t="s">
        <v>290</v>
      </c>
      <c r="J15" s="135">
        <v>0.5</v>
      </c>
    </row>
    <row r="16" spans="1:11" ht="15.75" x14ac:dyDescent="0.25">
      <c r="A16" s="41" t="s">
        <v>105</v>
      </c>
      <c r="B16" s="22"/>
      <c r="C16" s="37">
        <f>SUM(C4:C15)</f>
        <v>9388.0112000000008</v>
      </c>
      <c r="E16" s="137" t="s">
        <v>105</v>
      </c>
      <c r="F16" s="134"/>
      <c r="G16" s="136">
        <f>SUM(G4:G15)</f>
        <v>6602.2512000000015</v>
      </c>
      <c r="I16" s="137" t="s">
        <v>105</v>
      </c>
      <c r="J16" s="134"/>
    </row>
    <row r="17" spans="1:10" ht="15.75" x14ac:dyDescent="0.25">
      <c r="A17" s="122" t="s">
        <v>106</v>
      </c>
      <c r="B17" s="122"/>
      <c r="C17" s="122"/>
      <c r="E17" s="133" t="s">
        <v>294</v>
      </c>
      <c r="F17" s="133"/>
      <c r="G17" s="133"/>
      <c r="I17" s="132" t="s">
        <v>294</v>
      </c>
      <c r="J17" s="132"/>
    </row>
    <row r="18" spans="1:10" ht="15.75" x14ac:dyDescent="0.25">
      <c r="A18" s="22" t="s">
        <v>107</v>
      </c>
      <c r="B18" s="25">
        <v>0.6</v>
      </c>
      <c r="C18" s="37">
        <f>$C$4*B18</f>
        <v>1671.4560000000001</v>
      </c>
      <c r="E18" s="134" t="s">
        <v>291</v>
      </c>
      <c r="F18" s="135">
        <v>0.6</v>
      </c>
      <c r="G18" s="136">
        <f>$C$4*F18</f>
        <v>1671.4560000000001</v>
      </c>
      <c r="I18" s="134" t="s">
        <v>291</v>
      </c>
      <c r="J18" s="135">
        <v>0.6</v>
      </c>
    </row>
    <row r="19" spans="1:10" ht="15.75" x14ac:dyDescent="0.25">
      <c r="A19" s="22" t="s">
        <v>108</v>
      </c>
      <c r="B19" s="25">
        <v>0.3</v>
      </c>
      <c r="C19" s="37">
        <f>$C$4*B19</f>
        <v>835.72800000000007</v>
      </c>
      <c r="E19" s="134" t="s">
        <v>292</v>
      </c>
      <c r="F19" s="135">
        <v>0.3</v>
      </c>
      <c r="G19" s="136">
        <f>$C$4*F19</f>
        <v>835.72800000000007</v>
      </c>
      <c r="I19" s="134" t="s">
        <v>292</v>
      </c>
      <c r="J19" s="135">
        <v>0.3</v>
      </c>
    </row>
    <row r="20" spans="1:10" ht="15.75" x14ac:dyDescent="0.25">
      <c r="A20" s="22" t="s">
        <v>109</v>
      </c>
      <c r="B20" s="25">
        <v>0.2</v>
      </c>
      <c r="C20" s="37">
        <f>$C$4*B20</f>
        <v>557.15200000000004</v>
      </c>
      <c r="E20" s="134" t="s">
        <v>293</v>
      </c>
      <c r="F20" s="135">
        <v>0.2</v>
      </c>
      <c r="G20" s="136">
        <f>$C$4*F20</f>
        <v>557.15200000000004</v>
      </c>
      <c r="I20" s="134" t="s">
        <v>293</v>
      </c>
      <c r="J20" s="135">
        <v>0.2</v>
      </c>
    </row>
    <row r="21" spans="1:10" ht="15.75" x14ac:dyDescent="0.25">
      <c r="A21" s="41" t="s">
        <v>110</v>
      </c>
      <c r="B21" s="22"/>
      <c r="C21" s="37">
        <f>SUM(C18:C20)</f>
        <v>3064.3360000000002</v>
      </c>
      <c r="E21" s="137" t="s">
        <v>110</v>
      </c>
      <c r="F21" s="134"/>
      <c r="G21" s="136">
        <f>SUM(G18:G20)</f>
        <v>3064.3360000000002</v>
      </c>
      <c r="I21" s="137" t="s">
        <v>110</v>
      </c>
      <c r="J21" s="134"/>
    </row>
    <row r="22" spans="1:10" ht="15.75" x14ac:dyDescent="0.25">
      <c r="A22" s="43" t="s">
        <v>111</v>
      </c>
      <c r="B22" s="22"/>
      <c r="C22" s="37">
        <f>C16+C21</f>
        <v>12452.3472</v>
      </c>
      <c r="E22" s="138" t="s">
        <v>295</v>
      </c>
      <c r="F22" s="134"/>
      <c r="G22" s="136">
        <f>G16+G21</f>
        <v>9666.5872000000018</v>
      </c>
      <c r="I22" s="138" t="s">
        <v>295</v>
      </c>
      <c r="J22" s="134"/>
    </row>
    <row r="23" spans="1:10" ht="15.75" x14ac:dyDescent="0.25">
      <c r="A23" s="43" t="s">
        <v>112</v>
      </c>
      <c r="B23" s="22"/>
      <c r="C23" s="37">
        <f>C21-C15</f>
        <v>1671.4560000000001</v>
      </c>
      <c r="E23" s="138" t="s">
        <v>296</v>
      </c>
      <c r="F23" s="134"/>
      <c r="G23" s="136">
        <f>G21-G15</f>
        <v>1671.4560000000001</v>
      </c>
      <c r="I23" s="138" t="s">
        <v>296</v>
      </c>
      <c r="J23" s="134"/>
    </row>
    <row r="24" spans="1:10" ht="15.75" x14ac:dyDescent="0.25">
      <c r="A24" s="122" t="s">
        <v>113</v>
      </c>
      <c r="B24" s="122"/>
      <c r="C24" s="122"/>
      <c r="E24" s="133" t="s">
        <v>297</v>
      </c>
      <c r="F24" s="133"/>
      <c r="G24" s="133"/>
      <c r="I24" s="132" t="s">
        <v>297</v>
      </c>
      <c r="J24" s="132"/>
    </row>
    <row r="25" spans="1:10" ht="15.75" x14ac:dyDescent="0.25">
      <c r="A25" s="22" t="s">
        <v>114</v>
      </c>
      <c r="B25" s="25">
        <v>0.2</v>
      </c>
      <c r="C25" s="37">
        <f>$C$4*B25</f>
        <v>557.15200000000004</v>
      </c>
      <c r="E25" s="134" t="s">
        <v>298</v>
      </c>
      <c r="F25" s="135">
        <v>0.2</v>
      </c>
      <c r="G25" s="136">
        <f>$C$4*F25</f>
        <v>557.15200000000004</v>
      </c>
      <c r="I25" s="134" t="s">
        <v>298</v>
      </c>
      <c r="J25" s="135">
        <v>0.2</v>
      </c>
    </row>
    <row r="26" spans="1:10" ht="15.75" x14ac:dyDescent="0.25">
      <c r="A26" s="22" t="s">
        <v>115</v>
      </c>
      <c r="B26" s="25">
        <v>7.0000000000000007E-2</v>
      </c>
      <c r="C26" s="37">
        <f t="shared" ref="C26:C27" si="3">$C$4*B26</f>
        <v>195.00320000000002</v>
      </c>
      <c r="E26" s="134" t="s">
        <v>300</v>
      </c>
      <c r="F26" s="135">
        <v>7.0000000000000007E-2</v>
      </c>
      <c r="G26" s="136">
        <f t="shared" ref="G26:G27" si="4">$C$4*F26</f>
        <v>195.00320000000002</v>
      </c>
      <c r="I26" s="134" t="s">
        <v>300</v>
      </c>
      <c r="J26" s="135">
        <v>7.0000000000000007E-2</v>
      </c>
    </row>
    <row r="27" spans="1:10" ht="15.75" x14ac:dyDescent="0.25">
      <c r="A27" s="22" t="s">
        <v>116</v>
      </c>
      <c r="B27" s="25">
        <v>0.2</v>
      </c>
      <c r="C27" s="37">
        <f t="shared" si="3"/>
        <v>557.15200000000004</v>
      </c>
      <c r="E27" s="134" t="s">
        <v>299</v>
      </c>
      <c r="F27" s="135">
        <v>0.2</v>
      </c>
      <c r="G27" s="136">
        <f t="shared" si="4"/>
        <v>557.15200000000004</v>
      </c>
      <c r="I27" s="134" t="s">
        <v>299</v>
      </c>
      <c r="J27" s="135">
        <v>0.2</v>
      </c>
    </row>
    <row r="28" spans="1:10" ht="15.75" x14ac:dyDescent="0.25">
      <c r="A28" s="44" t="s">
        <v>117</v>
      </c>
      <c r="B28" s="25"/>
      <c r="C28" s="37">
        <f>SUM(C25:C27)</f>
        <v>1309.3072000000002</v>
      </c>
      <c r="E28" s="139" t="s">
        <v>117</v>
      </c>
      <c r="F28" s="135"/>
      <c r="G28" s="136">
        <f>SUM(G25:G27)</f>
        <v>1309.3072000000002</v>
      </c>
      <c r="I28" s="139" t="s">
        <v>117</v>
      </c>
      <c r="J28" s="135"/>
    </row>
    <row r="29" spans="1:10" ht="15.75" x14ac:dyDescent="0.25">
      <c r="A29" s="41" t="s">
        <v>118</v>
      </c>
      <c r="B29" s="25"/>
      <c r="C29" s="37">
        <f>C23+C28</f>
        <v>2980.7632000000003</v>
      </c>
      <c r="E29" s="137" t="s">
        <v>301</v>
      </c>
      <c r="F29" s="135"/>
      <c r="G29" s="136">
        <f>G23+G28</f>
        <v>2980.7632000000003</v>
      </c>
      <c r="I29" s="137" t="s">
        <v>301</v>
      </c>
      <c r="J29" s="135"/>
    </row>
    <row r="30" spans="1:10" ht="15.75" x14ac:dyDescent="0.25">
      <c r="A30" s="45" t="s">
        <v>119</v>
      </c>
      <c r="B30" s="22"/>
      <c r="C30" s="37">
        <f>C29-C15</f>
        <v>1587.8832000000002</v>
      </c>
      <c r="E30" s="140" t="s">
        <v>302</v>
      </c>
      <c r="F30" s="134"/>
      <c r="G30" s="136">
        <f>G29-G15</f>
        <v>1587.8832000000002</v>
      </c>
      <c r="I30" s="140" t="s">
        <v>302</v>
      </c>
      <c r="J30" s="134"/>
    </row>
  </sheetData>
  <mergeCells count="7">
    <mergeCell ref="A1:D1"/>
    <mergeCell ref="A17:C17"/>
    <mergeCell ref="A3:C3"/>
    <mergeCell ref="A24:C24"/>
    <mergeCell ref="E3:G3"/>
    <mergeCell ref="E17:G17"/>
    <mergeCell ref="E24:G2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opLeftCell="A16" workbookViewId="0">
      <selection activeCell="O27" sqref="O27"/>
    </sheetView>
  </sheetViews>
  <sheetFormatPr defaultRowHeight="15" x14ac:dyDescent="0.25"/>
  <cols>
    <col min="2" max="2" width="27.85546875" bestFit="1" customWidth="1"/>
    <col min="4" max="4" width="12.5703125" bestFit="1" customWidth="1"/>
    <col min="5" max="5" width="15.42578125" bestFit="1" customWidth="1"/>
    <col min="6" max="6" width="15.5703125" bestFit="1" customWidth="1"/>
    <col min="7" max="8" width="15.7109375" bestFit="1" customWidth="1"/>
    <col min="10" max="11" width="36.140625" bestFit="1" customWidth="1"/>
    <col min="12" max="12" width="20.28515625" bestFit="1" customWidth="1"/>
    <col min="13" max="13" width="20.5703125" bestFit="1" customWidth="1"/>
    <col min="14" max="14" width="21.42578125" bestFit="1" customWidth="1"/>
    <col min="15" max="15" width="22.42578125" bestFit="1" customWidth="1"/>
  </cols>
  <sheetData>
    <row r="1" spans="1:17" x14ac:dyDescent="0.25">
      <c r="A1" s="123" t="s">
        <v>120</v>
      </c>
      <c r="B1" s="123"/>
      <c r="C1" s="123"/>
      <c r="D1" s="123"/>
      <c r="E1" s="123"/>
      <c r="F1" s="123"/>
      <c r="G1" s="123"/>
    </row>
    <row r="3" spans="1:17" x14ac:dyDescent="0.25">
      <c r="A3" s="47" t="s">
        <v>2</v>
      </c>
      <c r="B3" s="47" t="s">
        <v>3</v>
      </c>
      <c r="C3" s="62" t="s">
        <v>121</v>
      </c>
      <c r="D3" s="62"/>
      <c r="E3" s="47" t="s">
        <v>165</v>
      </c>
      <c r="F3" s="47" t="s">
        <v>122</v>
      </c>
      <c r="G3" s="47" t="s">
        <v>123</v>
      </c>
      <c r="H3" s="47" t="s">
        <v>124</v>
      </c>
      <c r="K3" s="47" t="s">
        <v>133</v>
      </c>
      <c r="L3" s="47" t="s">
        <v>134</v>
      </c>
      <c r="M3" s="47" t="s">
        <v>141</v>
      </c>
      <c r="N3" s="47" t="s">
        <v>135</v>
      </c>
      <c r="O3" s="47" t="s">
        <v>136</v>
      </c>
    </row>
    <row r="4" spans="1:17" x14ac:dyDescent="0.25">
      <c r="A4" s="41"/>
      <c r="B4" s="41" t="s">
        <v>125</v>
      </c>
      <c r="C4" s="39">
        <v>20</v>
      </c>
      <c r="D4" s="39" t="s">
        <v>126</v>
      </c>
      <c r="E4" s="39"/>
      <c r="F4" s="41"/>
      <c r="G4" s="41"/>
      <c r="H4" s="41"/>
      <c r="K4" s="22" t="s">
        <v>137</v>
      </c>
      <c r="L4" s="37">
        <v>8</v>
      </c>
      <c r="M4" s="37">
        <f>L4*5</f>
        <v>40</v>
      </c>
      <c r="N4" s="37">
        <f>L4*22</f>
        <v>176</v>
      </c>
      <c r="O4" s="37">
        <f>N4*12</f>
        <v>2112</v>
      </c>
    </row>
    <row r="5" spans="1:17" x14ac:dyDescent="0.25">
      <c r="A5" s="25">
        <v>1</v>
      </c>
      <c r="B5" s="46" t="s">
        <v>127</v>
      </c>
      <c r="C5" s="25"/>
      <c r="D5" s="25"/>
      <c r="E5" s="61">
        <f>'Peralatan, RM dan Utilitas'!F20</f>
        <v>147547.19999999998</v>
      </c>
      <c r="F5" s="37">
        <f>'Peralatan, RM dan Utilitas'!H20</f>
        <v>737736</v>
      </c>
      <c r="G5" s="37">
        <f>'Peralatan, RM dan Utilitas'!J20</f>
        <v>3246038.4</v>
      </c>
      <c r="H5" s="37">
        <f>'Peralatan, RM dan Utilitas'!L20</f>
        <v>38952460.800000004</v>
      </c>
      <c r="K5" s="22" t="s">
        <v>140</v>
      </c>
      <c r="L5" s="37">
        <f>L4*15</f>
        <v>120</v>
      </c>
      <c r="M5" s="37">
        <f>L5*5</f>
        <v>600</v>
      </c>
      <c r="N5" s="37">
        <f>L5*22</f>
        <v>2640</v>
      </c>
      <c r="O5" s="37">
        <f>N5*12</f>
        <v>31680</v>
      </c>
    </row>
    <row r="6" spans="1:17" x14ac:dyDescent="0.25">
      <c r="A6" s="25">
        <v>2</v>
      </c>
      <c r="B6" s="46" t="s">
        <v>128</v>
      </c>
      <c r="C6" s="25"/>
      <c r="D6" s="25"/>
      <c r="E6" s="61">
        <f>'Peralatan, RM dan Utilitas'!H30</f>
        <v>0.78</v>
      </c>
      <c r="F6" s="37">
        <f>'Peralatan, RM dan Utilitas'!I30</f>
        <v>3.89</v>
      </c>
      <c r="G6" s="37">
        <f>'Peralatan, RM dan Utilitas'!J30</f>
        <v>17.13</v>
      </c>
      <c r="H6" s="37">
        <f>'Peralatan, RM dan Utilitas'!K30</f>
        <v>205.6</v>
      </c>
      <c r="K6" s="47" t="s">
        <v>138</v>
      </c>
      <c r="L6" s="47" t="s">
        <v>134</v>
      </c>
      <c r="M6" s="47" t="s">
        <v>141</v>
      </c>
      <c r="N6" s="47" t="s">
        <v>135</v>
      </c>
      <c r="O6" s="47" t="s">
        <v>136</v>
      </c>
    </row>
    <row r="7" spans="1:17" x14ac:dyDescent="0.25">
      <c r="A7" s="25">
        <v>3</v>
      </c>
      <c r="B7" s="46" t="s">
        <v>129</v>
      </c>
      <c r="C7" s="53">
        <v>7.0000000000000007E-2</v>
      </c>
      <c r="D7" s="25" t="s">
        <v>132</v>
      </c>
      <c r="E7" s="61"/>
      <c r="F7" s="37"/>
      <c r="G7" s="37"/>
      <c r="H7" s="37"/>
      <c r="K7" s="22" t="s">
        <v>278</v>
      </c>
      <c r="L7" s="48">
        <v>15000</v>
      </c>
      <c r="M7" s="22">
        <f>L7*5</f>
        <v>75000</v>
      </c>
      <c r="N7" s="22">
        <f>L7*22</f>
        <v>330000</v>
      </c>
      <c r="O7" s="22">
        <f>N7*12</f>
        <v>3960000</v>
      </c>
    </row>
    <row r="8" spans="1:17" x14ac:dyDescent="0.25">
      <c r="A8" s="25">
        <v>4</v>
      </c>
      <c r="B8" s="46" t="s">
        <v>130</v>
      </c>
      <c r="C8" s="25"/>
      <c r="D8" s="25"/>
      <c r="E8" s="61">
        <f>L5</f>
        <v>120</v>
      </c>
      <c r="F8" s="37">
        <f>M5</f>
        <v>600</v>
      </c>
      <c r="G8" s="37">
        <f>N5</f>
        <v>2640</v>
      </c>
      <c r="H8" s="37">
        <f>O5</f>
        <v>31680</v>
      </c>
      <c r="K8" s="22" t="s">
        <v>139</v>
      </c>
      <c r="L8" s="37">
        <v>11.55</v>
      </c>
      <c r="M8" s="37">
        <v>11.55</v>
      </c>
      <c r="N8" s="37">
        <v>11.55</v>
      </c>
      <c r="O8" s="37">
        <v>11.55</v>
      </c>
      <c r="Q8" s="79">
        <v>0.3</v>
      </c>
    </row>
    <row r="9" spans="1:17" x14ac:dyDescent="0.25">
      <c r="A9" s="25">
        <v>5</v>
      </c>
      <c r="B9" s="43" t="s">
        <v>131</v>
      </c>
      <c r="C9" s="43"/>
      <c r="D9" s="43"/>
      <c r="E9" s="43"/>
      <c r="F9" s="43"/>
      <c r="G9" s="43"/>
      <c r="H9" s="43"/>
      <c r="K9" s="22" t="s">
        <v>6</v>
      </c>
      <c r="L9" s="37">
        <f>L7*L8</f>
        <v>173250</v>
      </c>
      <c r="M9" s="37">
        <f>M7*M8</f>
        <v>866250</v>
      </c>
      <c r="N9" s="37">
        <f t="shared" ref="N9:O9" si="0">N7*N8</f>
        <v>3811500.0000000005</v>
      </c>
      <c r="O9" s="37">
        <f t="shared" si="0"/>
        <v>45738000</v>
      </c>
    </row>
    <row r="10" spans="1:17" x14ac:dyDescent="0.25">
      <c r="A10" s="25"/>
      <c r="B10" s="46" t="s">
        <v>146</v>
      </c>
      <c r="C10" s="53">
        <v>0.3</v>
      </c>
      <c r="D10" s="25" t="s">
        <v>147</v>
      </c>
      <c r="E10" s="61">
        <f>E8*$C$10</f>
        <v>36</v>
      </c>
      <c r="F10" s="61">
        <f t="shared" ref="F10:H10" si="1">F8*$C$10</f>
        <v>180</v>
      </c>
      <c r="G10" s="61">
        <f t="shared" si="1"/>
        <v>792</v>
      </c>
      <c r="H10" s="61">
        <f t="shared" si="1"/>
        <v>9504</v>
      </c>
    </row>
    <row r="11" spans="1:17" x14ac:dyDescent="0.25">
      <c r="A11" s="25"/>
      <c r="B11" s="46" t="s">
        <v>148</v>
      </c>
      <c r="C11" s="53">
        <v>0.25</v>
      </c>
      <c r="D11" s="25" t="s">
        <v>147</v>
      </c>
      <c r="E11" s="61">
        <f>E8*$C$11</f>
        <v>30</v>
      </c>
      <c r="F11" s="61">
        <f t="shared" ref="F11:H11" si="2">F8*$C$11</f>
        <v>150</v>
      </c>
      <c r="G11" s="61">
        <f t="shared" si="2"/>
        <v>660</v>
      </c>
      <c r="H11" s="61">
        <f t="shared" si="2"/>
        <v>7920</v>
      </c>
    </row>
    <row r="12" spans="1:17" x14ac:dyDescent="0.25">
      <c r="A12" s="25"/>
      <c r="B12" s="46" t="s">
        <v>149</v>
      </c>
      <c r="C12" s="53">
        <v>0.12</v>
      </c>
      <c r="D12" s="25" t="s">
        <v>147</v>
      </c>
      <c r="E12" s="61">
        <f>E8*$C$12</f>
        <v>14.399999999999999</v>
      </c>
      <c r="F12" s="61">
        <f t="shared" ref="F12:H12" si="3">F8*$C$12</f>
        <v>72</v>
      </c>
      <c r="G12" s="61">
        <f t="shared" si="3"/>
        <v>316.8</v>
      </c>
      <c r="H12" s="61">
        <f t="shared" si="3"/>
        <v>3801.6</v>
      </c>
      <c r="K12" s="124" t="s">
        <v>145</v>
      </c>
      <c r="L12" s="124"/>
      <c r="M12" s="124"/>
      <c r="N12" s="124"/>
      <c r="O12" s="124"/>
    </row>
    <row r="13" spans="1:17" x14ac:dyDescent="0.25">
      <c r="A13" s="25">
        <v>6</v>
      </c>
      <c r="B13" s="43" t="s">
        <v>150</v>
      </c>
      <c r="C13" s="43"/>
      <c r="D13" s="43"/>
      <c r="E13" s="43"/>
      <c r="F13" s="43"/>
      <c r="G13" s="43"/>
      <c r="H13" s="43"/>
      <c r="K13" s="47" t="s">
        <v>90</v>
      </c>
      <c r="L13" s="55" t="s">
        <v>91</v>
      </c>
      <c r="M13" s="56"/>
      <c r="N13" s="47" t="s">
        <v>92</v>
      </c>
    </row>
    <row r="14" spans="1:17" x14ac:dyDescent="0.25">
      <c r="A14" s="25"/>
      <c r="B14" s="46" t="s">
        <v>151</v>
      </c>
      <c r="C14" s="53">
        <v>0.06</v>
      </c>
      <c r="D14" s="25" t="s">
        <v>152</v>
      </c>
      <c r="E14" s="61">
        <f>C14*TIC!$C$30</f>
        <v>95.272992000000016</v>
      </c>
      <c r="F14" s="37">
        <f>$E$14</f>
        <v>95.272992000000016</v>
      </c>
      <c r="G14" s="37">
        <f t="shared" ref="G14:H14" si="4">$E$14</f>
        <v>95.272992000000016</v>
      </c>
      <c r="H14" s="37">
        <f t="shared" si="4"/>
        <v>95.272992000000016</v>
      </c>
      <c r="K14" s="50" t="s">
        <v>142</v>
      </c>
      <c r="L14" s="22"/>
      <c r="M14" s="49"/>
      <c r="N14" s="52">
        <f>O9</f>
        <v>45738000</v>
      </c>
    </row>
    <row r="15" spans="1:17" x14ac:dyDescent="0.25">
      <c r="A15" s="25"/>
      <c r="B15" s="46" t="s">
        <v>153</v>
      </c>
      <c r="C15" s="54">
        <v>1.7500000000000002E-2</v>
      </c>
      <c r="D15" s="25" t="s">
        <v>152</v>
      </c>
      <c r="E15" s="61">
        <f>C15*TIC!$C$30</f>
        <v>27.787956000000005</v>
      </c>
      <c r="F15" s="37">
        <f>$E$15</f>
        <v>27.787956000000005</v>
      </c>
      <c r="G15" s="37">
        <f t="shared" ref="G15:H15" si="5">$E$15</f>
        <v>27.787956000000005</v>
      </c>
      <c r="H15" s="37">
        <f t="shared" si="5"/>
        <v>27.787956000000005</v>
      </c>
      <c r="K15" s="22" t="s">
        <v>143</v>
      </c>
      <c r="L15" s="51"/>
      <c r="M15" s="22"/>
      <c r="N15" s="52">
        <f>H26</f>
        <v>42207581.334304005</v>
      </c>
    </row>
    <row r="16" spans="1:17" x14ac:dyDescent="0.25">
      <c r="A16" s="25"/>
      <c r="B16" s="46" t="s">
        <v>154</v>
      </c>
      <c r="C16" s="54">
        <v>2.2499999999999999E-2</v>
      </c>
      <c r="D16" s="25" t="s">
        <v>152</v>
      </c>
      <c r="E16" s="61">
        <f>C16*TIC!$C$30</f>
        <v>35.727372000000003</v>
      </c>
      <c r="F16" s="37">
        <f>$E$16</f>
        <v>35.727372000000003</v>
      </c>
      <c r="G16" s="37">
        <f t="shared" ref="G16:H16" si="6">$E$16</f>
        <v>35.727372000000003</v>
      </c>
      <c r="H16" s="37">
        <f t="shared" si="6"/>
        <v>35.727372000000003</v>
      </c>
      <c r="K16" s="57" t="s">
        <v>144</v>
      </c>
      <c r="L16" s="58"/>
      <c r="M16" s="59"/>
      <c r="N16" s="60">
        <f>N14-N15</f>
        <v>3530418.6656959951</v>
      </c>
    </row>
    <row r="17" spans="1:15" x14ac:dyDescent="0.25">
      <c r="A17" s="25"/>
      <c r="B17" s="46" t="s">
        <v>155</v>
      </c>
      <c r="C17" s="54">
        <v>0.05</v>
      </c>
      <c r="D17" s="25" t="s">
        <v>152</v>
      </c>
      <c r="E17" s="61">
        <f>C17*TIC!$C$30</f>
        <v>79.394160000000014</v>
      </c>
      <c r="F17" s="37">
        <f>$E$17</f>
        <v>79.394160000000014</v>
      </c>
      <c r="G17" s="37">
        <f t="shared" ref="G17:H17" si="7">$E$17</f>
        <v>79.394160000000014</v>
      </c>
      <c r="H17" s="37">
        <f t="shared" si="7"/>
        <v>79.394160000000014</v>
      </c>
    </row>
    <row r="18" spans="1:15" x14ac:dyDescent="0.25">
      <c r="A18" s="25"/>
      <c r="B18" s="46" t="s">
        <v>156</v>
      </c>
      <c r="C18" s="53">
        <v>0.04</v>
      </c>
      <c r="D18" s="25" t="s">
        <v>152</v>
      </c>
      <c r="E18" s="61">
        <f>C18*TIC!$C$30</f>
        <v>63.515328000000011</v>
      </c>
      <c r="F18" s="37">
        <f>$E$18</f>
        <v>63.515328000000011</v>
      </c>
      <c r="G18" s="37">
        <f t="shared" ref="G18:H18" si="8">$E$18</f>
        <v>63.515328000000011</v>
      </c>
      <c r="H18" s="37">
        <f t="shared" si="8"/>
        <v>63.515328000000011</v>
      </c>
    </row>
    <row r="19" spans="1:15" x14ac:dyDescent="0.25">
      <c r="A19" s="25"/>
      <c r="B19" s="46" t="s">
        <v>157</v>
      </c>
      <c r="C19" s="53">
        <v>0.03</v>
      </c>
      <c r="D19" s="25" t="s">
        <v>152</v>
      </c>
      <c r="E19" s="61">
        <f>C19*TIC!$C$30</f>
        <v>47.636496000000008</v>
      </c>
      <c r="F19" s="37">
        <f>$E$19</f>
        <v>47.636496000000008</v>
      </c>
      <c r="G19" s="37">
        <f t="shared" ref="G19:H19" si="9">$E$19</f>
        <v>47.636496000000008</v>
      </c>
      <c r="H19" s="37">
        <f t="shared" si="9"/>
        <v>47.636496000000008</v>
      </c>
    </row>
    <row r="20" spans="1:15" x14ac:dyDescent="0.25">
      <c r="A20" s="25">
        <v>7</v>
      </c>
      <c r="B20" s="43" t="s">
        <v>158</v>
      </c>
      <c r="C20" s="43"/>
      <c r="D20" s="43"/>
      <c r="E20" s="43"/>
      <c r="F20" s="43"/>
      <c r="G20" s="43"/>
      <c r="H20" s="43"/>
      <c r="K20" s="32"/>
      <c r="L20" s="47" t="s">
        <v>166</v>
      </c>
      <c r="M20" s="47" t="s">
        <v>167</v>
      </c>
      <c r="N20" s="47" t="s">
        <v>37</v>
      </c>
      <c r="O20" s="47" t="s">
        <v>38</v>
      </c>
    </row>
    <row r="21" spans="1:15" x14ac:dyDescent="0.25">
      <c r="A21" s="22"/>
      <c r="B21" s="46" t="s">
        <v>159</v>
      </c>
      <c r="C21" s="53">
        <v>0.01</v>
      </c>
      <c r="D21" s="25" t="s">
        <v>160</v>
      </c>
      <c r="E21" s="61">
        <f>$C$21*$L$9</f>
        <v>1732.5</v>
      </c>
      <c r="F21" s="61">
        <f>$C$21*$M$9</f>
        <v>8662.5</v>
      </c>
      <c r="G21" s="61">
        <f>$C$21*$N$9</f>
        <v>38115.000000000007</v>
      </c>
      <c r="H21" s="61">
        <f>$C$21*$O$9</f>
        <v>457380</v>
      </c>
      <c r="K21" s="46" t="s">
        <v>168</v>
      </c>
      <c r="L21" s="37">
        <f>L9</f>
        <v>173250</v>
      </c>
      <c r="M21" s="37">
        <f t="shared" ref="M21:O21" si="10">M9</f>
        <v>866250</v>
      </c>
      <c r="N21" s="37">
        <f t="shared" si="10"/>
        <v>3811500.0000000005</v>
      </c>
      <c r="O21" s="37">
        <f t="shared" si="10"/>
        <v>45738000</v>
      </c>
    </row>
    <row r="22" spans="1:15" x14ac:dyDescent="0.25">
      <c r="A22" s="22"/>
      <c r="B22" s="46" t="s">
        <v>161</v>
      </c>
      <c r="C22" s="53">
        <v>0.02</v>
      </c>
      <c r="D22" s="25" t="s">
        <v>160</v>
      </c>
      <c r="E22" s="61">
        <f>C22*$L$9</f>
        <v>3465</v>
      </c>
      <c r="F22" s="61">
        <f>C22*$M$9</f>
        <v>17325</v>
      </c>
      <c r="G22" s="61">
        <f>C22*$N$9</f>
        <v>76230.000000000015</v>
      </c>
      <c r="H22" s="61">
        <f>C22*$O$9</f>
        <v>914760</v>
      </c>
      <c r="K22" s="46" t="s">
        <v>169</v>
      </c>
      <c r="L22" s="37">
        <f>'Peralatan, RM dan Utilitas'!F20</f>
        <v>147547.19999999998</v>
      </c>
      <c r="M22" s="37">
        <f>'Peralatan, RM dan Utilitas'!H20</f>
        <v>737736</v>
      </c>
      <c r="N22" s="37">
        <f>'Peralatan, RM dan Utilitas'!J20</f>
        <v>3246038.4</v>
      </c>
      <c r="O22" s="37">
        <f>'Peralatan, RM dan Utilitas'!L20</f>
        <v>38952460.800000004</v>
      </c>
    </row>
    <row r="23" spans="1:15" x14ac:dyDescent="0.25">
      <c r="A23" s="22"/>
      <c r="B23" s="46" t="s">
        <v>162</v>
      </c>
      <c r="C23" s="53">
        <v>0.02</v>
      </c>
      <c r="D23" s="25" t="s">
        <v>160</v>
      </c>
      <c r="E23" s="61">
        <f t="shared" ref="E23:E25" si="11">C23*$L$9</f>
        <v>3465</v>
      </c>
      <c r="F23" s="61">
        <f t="shared" ref="F23:F25" si="12">C23*$M$9</f>
        <v>17325</v>
      </c>
      <c r="G23" s="61">
        <f t="shared" ref="G23:G25" si="13">C23*$N$9</f>
        <v>76230.000000000015</v>
      </c>
      <c r="H23" s="61">
        <f t="shared" ref="H23:H25" si="14">C23*$O$9</f>
        <v>914760</v>
      </c>
      <c r="K23" s="44" t="s">
        <v>170</v>
      </c>
      <c r="L23" s="37">
        <f>L21-L22</f>
        <v>25702.800000000017</v>
      </c>
      <c r="M23" s="37">
        <f t="shared" ref="M23:O23" si="15">M21-M22</f>
        <v>128514</v>
      </c>
      <c r="N23" s="37">
        <f t="shared" si="15"/>
        <v>565461.60000000056</v>
      </c>
      <c r="O23" s="37">
        <f t="shared" si="15"/>
        <v>6785539.1999999955</v>
      </c>
    </row>
    <row r="24" spans="1:15" x14ac:dyDescent="0.25">
      <c r="A24" s="22"/>
      <c r="B24" s="46" t="s">
        <v>163</v>
      </c>
      <c r="C24" s="53">
        <v>0.01</v>
      </c>
      <c r="D24" s="25" t="s">
        <v>160</v>
      </c>
      <c r="E24" s="61">
        <f t="shared" si="11"/>
        <v>1732.5</v>
      </c>
      <c r="F24" s="61">
        <f t="shared" si="12"/>
        <v>8662.5</v>
      </c>
      <c r="G24" s="61">
        <f t="shared" si="13"/>
        <v>38115.000000000007</v>
      </c>
      <c r="H24" s="61">
        <f t="shared" si="14"/>
        <v>457380</v>
      </c>
      <c r="K24" s="44" t="s">
        <v>171</v>
      </c>
      <c r="L24" s="21">
        <f>L23*14425</f>
        <v>370762890.00000024</v>
      </c>
      <c r="M24" s="21">
        <f t="shared" ref="M24:O24" si="16">M23*14425</f>
        <v>1853814450</v>
      </c>
      <c r="N24" s="21">
        <f t="shared" si="16"/>
        <v>8156783580.0000076</v>
      </c>
      <c r="O24" s="21">
        <f t="shared" si="16"/>
        <v>97881402959.999939</v>
      </c>
    </row>
    <row r="25" spans="1:15" x14ac:dyDescent="0.25">
      <c r="A25" s="22"/>
      <c r="B25" s="46" t="s">
        <v>164</v>
      </c>
      <c r="C25" s="53">
        <v>0.01</v>
      </c>
      <c r="D25" s="25" t="s">
        <v>160</v>
      </c>
      <c r="E25" s="61">
        <f t="shared" si="11"/>
        <v>1732.5</v>
      </c>
      <c r="F25" s="61">
        <f t="shared" si="12"/>
        <v>8662.5</v>
      </c>
      <c r="G25" s="61">
        <f t="shared" si="13"/>
        <v>38115.000000000007</v>
      </c>
      <c r="H25" s="61">
        <f t="shared" si="14"/>
        <v>457380</v>
      </c>
    </row>
    <row r="26" spans="1:15" x14ac:dyDescent="0.25">
      <c r="A26" s="125" t="s">
        <v>143</v>
      </c>
      <c r="B26" s="126"/>
      <c r="C26" s="126"/>
      <c r="D26" s="127"/>
      <c r="E26" s="63">
        <f>SUM(E5:E25)</f>
        <v>160225.21430399996</v>
      </c>
      <c r="F26" s="63">
        <f>SUM(F5:F25)</f>
        <v>799728.72430399992</v>
      </c>
      <c r="G26" s="63">
        <f>SUM(G5:G25)</f>
        <v>3517618.6643039994</v>
      </c>
      <c r="H26" s="63">
        <f>SUM(H5:H25)</f>
        <v>42207581.334304005</v>
      </c>
    </row>
    <row r="27" spans="1:15" x14ac:dyDescent="0.25">
      <c r="K27" s="35" t="s">
        <v>172</v>
      </c>
      <c r="L27">
        <f>(N16/TIC!C29)*100</f>
        <v>118440.0916414962</v>
      </c>
      <c r="O27">
        <v>6785539.2000000002</v>
      </c>
    </row>
    <row r="28" spans="1:15" x14ac:dyDescent="0.25">
      <c r="K28" s="35" t="s">
        <v>173</v>
      </c>
      <c r="L28">
        <f>L27/18</f>
        <v>6580.0050911942335</v>
      </c>
    </row>
  </sheetData>
  <mergeCells count="3">
    <mergeCell ref="A1:G1"/>
    <mergeCell ref="K12:O12"/>
    <mergeCell ref="A26:D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7" workbookViewId="0">
      <selection activeCell="H22" sqref="H22"/>
    </sheetView>
  </sheetViews>
  <sheetFormatPr defaultRowHeight="15" x14ac:dyDescent="0.25"/>
  <cols>
    <col min="1" max="1" width="17.5703125" bestFit="1" customWidth="1"/>
    <col min="2" max="2" width="26" bestFit="1" customWidth="1"/>
    <col min="5" max="5" width="13.5703125" bestFit="1" customWidth="1"/>
    <col min="6" max="6" width="16" customWidth="1"/>
    <col min="7" max="7" width="12.42578125" customWidth="1"/>
  </cols>
  <sheetData>
    <row r="1" spans="1:7" x14ac:dyDescent="0.25">
      <c r="A1" s="115" t="s">
        <v>174</v>
      </c>
      <c r="B1" s="115"/>
      <c r="C1" s="115"/>
      <c r="D1" s="115"/>
      <c r="E1" s="115"/>
      <c r="F1" s="115"/>
    </row>
    <row r="2" spans="1:7" x14ac:dyDescent="0.25">
      <c r="A2" s="128" t="s">
        <v>175</v>
      </c>
      <c r="B2" s="22" t="s">
        <v>176</v>
      </c>
      <c r="C2" s="22"/>
      <c r="D2" s="22"/>
      <c r="E2" s="22" t="s">
        <v>177</v>
      </c>
      <c r="F2" s="37">
        <v>0</v>
      </c>
    </row>
    <row r="3" spans="1:7" x14ac:dyDescent="0.25">
      <c r="A3" s="128"/>
      <c r="B3" s="22" t="s">
        <v>178</v>
      </c>
      <c r="C3" s="22"/>
      <c r="D3" s="22"/>
      <c r="E3" s="22" t="s">
        <v>177</v>
      </c>
      <c r="F3" s="37">
        <f>SUM('MC, GPM, ROI'!H14:H19)</f>
        <v>349.33430400000009</v>
      </c>
    </row>
    <row r="4" spans="1:7" x14ac:dyDescent="0.25">
      <c r="A4" s="128"/>
      <c r="B4" s="22" t="s">
        <v>179</v>
      </c>
      <c r="C4" s="22"/>
      <c r="D4" s="22"/>
      <c r="E4" s="22" t="s">
        <v>177</v>
      </c>
      <c r="F4" s="37">
        <v>0</v>
      </c>
    </row>
    <row r="5" spans="1:7" x14ac:dyDescent="0.25">
      <c r="A5" s="128"/>
      <c r="B5" s="41" t="s">
        <v>180</v>
      </c>
      <c r="C5" s="22"/>
      <c r="D5" s="22"/>
      <c r="E5" s="22" t="s">
        <v>177</v>
      </c>
      <c r="F5" s="37">
        <f>'MC, GPM, ROI'!H17</f>
        <v>79.394160000000014</v>
      </c>
    </row>
    <row r="6" spans="1:7" x14ac:dyDescent="0.25">
      <c r="A6" s="128"/>
      <c r="B6" s="41" t="s">
        <v>181</v>
      </c>
      <c r="C6" s="22"/>
      <c r="D6" s="22"/>
      <c r="E6" s="22" t="s">
        <v>177</v>
      </c>
      <c r="F6" s="37">
        <v>0</v>
      </c>
    </row>
    <row r="7" spans="1:7" x14ac:dyDescent="0.25">
      <c r="A7" s="128"/>
      <c r="B7" s="43" t="s">
        <v>182</v>
      </c>
      <c r="C7" s="43"/>
      <c r="D7" s="41"/>
      <c r="E7" s="41"/>
      <c r="F7" s="68">
        <f>SUM(F2:F6)</f>
        <v>428.72846400000009</v>
      </c>
    </row>
    <row r="8" spans="1:7" x14ac:dyDescent="0.25">
      <c r="A8" s="128" t="s">
        <v>183</v>
      </c>
      <c r="B8" s="22" t="s">
        <v>184</v>
      </c>
      <c r="C8" s="22"/>
      <c r="D8" s="22"/>
      <c r="E8" s="22" t="s">
        <v>177</v>
      </c>
      <c r="F8" s="37">
        <f>'MC, GPM, ROI'!H5</f>
        <v>38952460.800000004</v>
      </c>
    </row>
    <row r="9" spans="1:7" x14ac:dyDescent="0.25">
      <c r="A9" s="128"/>
      <c r="B9" s="22" t="s">
        <v>97</v>
      </c>
      <c r="C9" s="22"/>
      <c r="D9" s="22"/>
      <c r="E9" s="22" t="s">
        <v>177</v>
      </c>
      <c r="F9" s="37">
        <f>'MC, GPM, ROI'!H6</f>
        <v>205.6</v>
      </c>
    </row>
    <row r="10" spans="1:7" x14ac:dyDescent="0.25">
      <c r="A10" s="128"/>
      <c r="B10" s="22" t="s">
        <v>185</v>
      </c>
      <c r="C10" s="22"/>
      <c r="D10" s="22"/>
      <c r="E10" s="22" t="s">
        <v>177</v>
      </c>
      <c r="F10" s="37">
        <f>'MC, GPM, ROI'!H8</f>
        <v>31680</v>
      </c>
    </row>
    <row r="11" spans="1:7" x14ac:dyDescent="0.25">
      <c r="A11" s="128"/>
      <c r="B11" s="22" t="s">
        <v>186</v>
      </c>
      <c r="C11" s="22"/>
      <c r="D11" s="22"/>
      <c r="E11" s="22" t="s">
        <v>177</v>
      </c>
      <c r="F11" s="37">
        <f>SUM('MC, GPM, ROI'!H10:H12)</f>
        <v>21225.599999999999</v>
      </c>
    </row>
    <row r="12" spans="1:7" x14ac:dyDescent="0.25">
      <c r="A12" s="128"/>
      <c r="B12" s="22" t="s">
        <v>187</v>
      </c>
      <c r="C12" s="22"/>
      <c r="D12" s="22"/>
      <c r="E12" s="22" t="s">
        <v>177</v>
      </c>
      <c r="F12" s="37">
        <f>SUM('MC, GPM, ROI'!H21:H25)</f>
        <v>3201660</v>
      </c>
    </row>
    <row r="13" spans="1:7" x14ac:dyDescent="0.25">
      <c r="A13" s="128"/>
      <c r="B13" s="43" t="s">
        <v>188</v>
      </c>
      <c r="C13" s="43"/>
      <c r="D13" s="41"/>
      <c r="E13" s="41" t="s">
        <v>177</v>
      </c>
      <c r="F13" s="68">
        <f>SUM(F8:F12)</f>
        <v>42207232.000000007</v>
      </c>
    </row>
    <row r="14" spans="1:7" x14ac:dyDescent="0.25">
      <c r="A14" s="128" t="s">
        <v>189</v>
      </c>
      <c r="B14" s="38" t="s">
        <v>142</v>
      </c>
      <c r="C14" s="22"/>
      <c r="D14" s="22"/>
      <c r="E14" s="22" t="s">
        <v>177</v>
      </c>
      <c r="F14" s="112">
        <f>'MC, GPM, ROI'!N14</f>
        <v>45738000</v>
      </c>
      <c r="G14">
        <v>45738000</v>
      </c>
    </row>
    <row r="15" spans="1:7" x14ac:dyDescent="0.25">
      <c r="A15" s="128"/>
      <c r="B15" s="38" t="s">
        <v>190</v>
      </c>
      <c r="C15" s="22"/>
      <c r="D15" s="22"/>
      <c r="E15" s="22" t="s">
        <v>177</v>
      </c>
      <c r="F15" s="37">
        <f>'MC, GPM, ROI'!N15</f>
        <v>42207581.334304005</v>
      </c>
      <c r="G15">
        <v>42207581.329999998</v>
      </c>
    </row>
    <row r="16" spans="1:7" x14ac:dyDescent="0.25">
      <c r="A16" s="128"/>
      <c r="B16" s="38" t="s">
        <v>191</v>
      </c>
      <c r="C16" s="22"/>
      <c r="D16" s="22"/>
      <c r="E16" s="22" t="s">
        <v>177</v>
      </c>
      <c r="F16" s="37">
        <f>TIC!C29</f>
        <v>2980.7632000000003</v>
      </c>
      <c r="G16">
        <v>2980.76</v>
      </c>
    </row>
    <row r="17" spans="1:7" x14ac:dyDescent="0.25">
      <c r="A17" s="128"/>
      <c r="B17" s="38" t="s">
        <v>192</v>
      </c>
      <c r="C17" s="22"/>
      <c r="D17" s="22"/>
      <c r="E17" s="22"/>
      <c r="F17" s="37">
        <f>'MC, GPM, ROI'!N16</f>
        <v>3530418.6656959951</v>
      </c>
      <c r="G17">
        <v>3530418.67</v>
      </c>
    </row>
    <row r="18" spans="1:7" x14ac:dyDescent="0.25">
      <c r="A18" s="128"/>
      <c r="B18" s="43" t="s">
        <v>193</v>
      </c>
      <c r="C18" s="22"/>
      <c r="D18" s="22"/>
      <c r="E18" s="22"/>
      <c r="F18" s="37">
        <f>((F14-F15)/F14)</f>
        <v>7.718786710603863E-2</v>
      </c>
      <c r="G18">
        <v>8</v>
      </c>
    </row>
    <row r="19" spans="1:7" x14ac:dyDescent="0.25">
      <c r="A19" s="128"/>
      <c r="B19" s="43" t="s">
        <v>194</v>
      </c>
      <c r="C19" s="22"/>
      <c r="D19" s="22"/>
      <c r="E19" s="22"/>
      <c r="F19" s="37">
        <f>F17/F16</f>
        <v>1184.400916414962</v>
      </c>
      <c r="G19">
        <v>118440</v>
      </c>
    </row>
    <row r="20" spans="1:7" x14ac:dyDescent="0.25">
      <c r="A20" s="128" t="s">
        <v>195</v>
      </c>
      <c r="B20" s="38" t="s">
        <v>5</v>
      </c>
      <c r="C20" s="22"/>
      <c r="D20" s="22"/>
      <c r="E20" s="22" t="s">
        <v>197</v>
      </c>
      <c r="F20" s="69">
        <f>'Analisis Produk dan Harga'!F41</f>
        <v>257136</v>
      </c>
    </row>
    <row r="21" spans="1:7" x14ac:dyDescent="0.25">
      <c r="A21" s="129"/>
      <c r="B21" s="38" t="s">
        <v>175</v>
      </c>
      <c r="C21" s="22"/>
      <c r="D21" s="22"/>
      <c r="E21" s="22" t="s">
        <v>177</v>
      </c>
      <c r="F21" s="37">
        <f>F7</f>
        <v>428.72846400000009</v>
      </c>
    </row>
    <row r="22" spans="1:7" x14ac:dyDescent="0.25">
      <c r="A22" s="129"/>
      <c r="B22" s="38" t="s">
        <v>183</v>
      </c>
      <c r="C22" s="22"/>
      <c r="D22" s="22"/>
      <c r="E22" s="22" t="s">
        <v>177</v>
      </c>
      <c r="F22" s="37">
        <f>F13</f>
        <v>42207232.000000007</v>
      </c>
    </row>
    <row r="23" spans="1:7" x14ac:dyDescent="0.25">
      <c r="A23" s="129"/>
      <c r="B23" s="38" t="s">
        <v>183</v>
      </c>
      <c r="C23" s="22"/>
      <c r="D23" s="22"/>
      <c r="E23" s="22" t="s">
        <v>198</v>
      </c>
      <c r="F23" s="37">
        <f>F22/F20</f>
        <v>164.1436127185614</v>
      </c>
    </row>
    <row r="24" spans="1:7" x14ac:dyDescent="0.25">
      <c r="A24" s="129"/>
      <c r="B24" s="38" t="s">
        <v>196</v>
      </c>
      <c r="C24" s="22"/>
      <c r="D24" s="22"/>
      <c r="E24" s="22" t="s">
        <v>177</v>
      </c>
      <c r="F24" s="37">
        <f>F14</f>
        <v>45738000</v>
      </c>
    </row>
    <row r="25" spans="1:7" x14ac:dyDescent="0.25">
      <c r="A25" s="129"/>
      <c r="B25" s="38" t="s">
        <v>196</v>
      </c>
      <c r="C25" s="22"/>
      <c r="D25" s="22"/>
      <c r="E25" s="22" t="s">
        <v>198</v>
      </c>
      <c r="F25" s="37">
        <f>F24/F20</f>
        <v>177.8747433264887</v>
      </c>
    </row>
    <row r="26" spans="1:7" x14ac:dyDescent="0.25">
      <c r="A26" s="129"/>
      <c r="B26" s="41" t="s">
        <v>195</v>
      </c>
      <c r="C26" s="22"/>
      <c r="D26" s="22"/>
      <c r="E26" s="22" t="s">
        <v>199</v>
      </c>
      <c r="F26" s="42">
        <f>(F21/(F24-F22))*F20</f>
        <v>31.223099993855236</v>
      </c>
    </row>
    <row r="27" spans="1:7" x14ac:dyDescent="0.25">
      <c r="A27" s="35" t="s">
        <v>200</v>
      </c>
      <c r="B27">
        <f>(F26/F20)*100</f>
        <v>1.2142640468022849E-2</v>
      </c>
      <c r="F27" s="67"/>
    </row>
    <row r="28" spans="1:7" x14ac:dyDescent="0.25">
      <c r="F28" s="67"/>
    </row>
  </sheetData>
  <mergeCells count="5">
    <mergeCell ref="A1:F1"/>
    <mergeCell ref="A2:A7"/>
    <mergeCell ref="A8:A13"/>
    <mergeCell ref="A14:A19"/>
    <mergeCell ref="A20:A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7"/>
  <sheetViews>
    <sheetView topLeftCell="E22" workbookViewId="0">
      <selection activeCell="H40" sqref="H40"/>
    </sheetView>
  </sheetViews>
  <sheetFormatPr defaultRowHeight="15" x14ac:dyDescent="0.25"/>
  <cols>
    <col min="1" max="1" width="25.140625" bestFit="1" customWidth="1"/>
    <col min="3" max="3" width="10" bestFit="1" customWidth="1"/>
    <col min="4" max="4" width="10.28515625" bestFit="1" customWidth="1"/>
    <col min="5" max="6" width="15" bestFit="1" customWidth="1"/>
    <col min="7" max="20" width="12.7109375" bestFit="1" customWidth="1"/>
    <col min="21" max="22" width="11.42578125" bestFit="1" customWidth="1"/>
  </cols>
  <sheetData>
    <row r="2" spans="1:22" x14ac:dyDescent="0.25">
      <c r="A2" s="70" t="s">
        <v>201</v>
      </c>
      <c r="B2" s="71">
        <v>2021</v>
      </c>
      <c r="C2" s="71">
        <v>2022</v>
      </c>
      <c r="D2" s="71">
        <v>2023</v>
      </c>
      <c r="E2" s="71">
        <v>2024</v>
      </c>
      <c r="F2" s="71">
        <v>2025</v>
      </c>
      <c r="G2" s="71">
        <v>2026</v>
      </c>
      <c r="H2" s="71">
        <v>2027</v>
      </c>
      <c r="I2" s="71">
        <v>2028</v>
      </c>
      <c r="J2" s="71">
        <v>2029</v>
      </c>
      <c r="K2" s="71">
        <v>2030</v>
      </c>
      <c r="L2" s="71">
        <v>2031</v>
      </c>
      <c r="M2" s="71">
        <v>2032</v>
      </c>
      <c r="N2" s="71">
        <v>2033</v>
      </c>
      <c r="O2" s="71">
        <v>2034</v>
      </c>
      <c r="P2" s="71">
        <v>2035</v>
      </c>
      <c r="Q2" s="71">
        <v>2036</v>
      </c>
      <c r="R2" s="71">
        <v>2037</v>
      </c>
      <c r="S2" s="71">
        <v>2038</v>
      </c>
      <c r="T2" s="71">
        <v>2039</v>
      </c>
      <c r="U2" s="71">
        <v>2040</v>
      </c>
      <c r="V2" s="71">
        <v>2041</v>
      </c>
    </row>
    <row r="3" spans="1:22" x14ac:dyDescent="0.25">
      <c r="A3" s="72" t="s">
        <v>202</v>
      </c>
      <c r="B3" s="73">
        <v>0.15</v>
      </c>
      <c r="C3" s="73">
        <v>0.15</v>
      </c>
      <c r="D3" s="73">
        <v>0.15</v>
      </c>
      <c r="E3" s="73">
        <v>0.15</v>
      </c>
      <c r="F3" s="73">
        <v>0.15</v>
      </c>
      <c r="G3" s="73">
        <v>0.15</v>
      </c>
      <c r="H3" s="73">
        <v>0.15</v>
      </c>
      <c r="I3" s="73">
        <v>0.15</v>
      </c>
      <c r="J3" s="73">
        <v>0.15</v>
      </c>
      <c r="K3" s="73">
        <v>0.15</v>
      </c>
      <c r="L3" s="73">
        <v>0.15</v>
      </c>
      <c r="M3" s="73">
        <v>0.15</v>
      </c>
      <c r="N3" s="73">
        <v>0.15</v>
      </c>
      <c r="O3" s="74">
        <v>0.15</v>
      </c>
      <c r="P3" s="74">
        <v>0.15</v>
      </c>
      <c r="Q3" s="74">
        <v>0.15</v>
      </c>
      <c r="R3" s="73">
        <v>0.15</v>
      </c>
      <c r="S3" s="73">
        <v>0.15</v>
      </c>
      <c r="T3" s="73">
        <v>0.15</v>
      </c>
      <c r="U3" s="73">
        <v>0.15</v>
      </c>
      <c r="V3" s="73">
        <v>0.15</v>
      </c>
    </row>
    <row r="4" spans="1:22" x14ac:dyDescent="0.25">
      <c r="A4" s="72" t="s">
        <v>203</v>
      </c>
      <c r="B4" s="73">
        <v>0</v>
      </c>
      <c r="C4" s="73">
        <v>0</v>
      </c>
      <c r="D4" s="73">
        <v>0</v>
      </c>
      <c r="E4" s="73">
        <v>1</v>
      </c>
      <c r="F4" s="73">
        <v>1</v>
      </c>
      <c r="G4" s="73">
        <v>1</v>
      </c>
      <c r="H4" s="73">
        <v>1</v>
      </c>
      <c r="I4" s="73">
        <v>1</v>
      </c>
      <c r="J4" s="73">
        <v>1</v>
      </c>
      <c r="K4" s="73">
        <v>1</v>
      </c>
      <c r="L4" s="73">
        <v>1</v>
      </c>
      <c r="M4" s="73">
        <v>1</v>
      </c>
      <c r="N4" s="73">
        <v>1</v>
      </c>
      <c r="O4" s="73">
        <v>1</v>
      </c>
      <c r="P4" s="73">
        <v>1</v>
      </c>
      <c r="Q4" s="73">
        <v>1</v>
      </c>
      <c r="R4" s="73">
        <v>1</v>
      </c>
      <c r="S4" s="73">
        <v>1</v>
      </c>
      <c r="T4" s="73">
        <v>1</v>
      </c>
      <c r="U4" s="73">
        <v>1</v>
      </c>
      <c r="V4" s="73">
        <v>1</v>
      </c>
    </row>
    <row r="5" spans="1:22" x14ac:dyDescent="0.25">
      <c r="A5" s="70" t="s">
        <v>204</v>
      </c>
      <c r="B5" s="71">
        <v>0</v>
      </c>
      <c r="C5" s="71">
        <v>1</v>
      </c>
      <c r="D5" s="71">
        <v>2</v>
      </c>
      <c r="E5" s="71">
        <v>3</v>
      </c>
      <c r="F5" s="71">
        <v>4</v>
      </c>
      <c r="G5" s="71">
        <v>5</v>
      </c>
      <c r="H5" s="71">
        <v>6</v>
      </c>
      <c r="I5" s="71">
        <v>7</v>
      </c>
      <c r="J5" s="71">
        <v>8</v>
      </c>
      <c r="K5" s="71">
        <v>9</v>
      </c>
      <c r="L5" s="71">
        <v>10</v>
      </c>
      <c r="M5" s="71">
        <v>11</v>
      </c>
      <c r="N5" s="71">
        <v>12</v>
      </c>
      <c r="O5" s="71">
        <v>13</v>
      </c>
      <c r="P5" s="71">
        <v>14</v>
      </c>
      <c r="Q5" s="71">
        <v>15</v>
      </c>
      <c r="R5" s="71">
        <v>16</v>
      </c>
      <c r="S5" s="71">
        <v>17</v>
      </c>
      <c r="T5" s="71">
        <v>18</v>
      </c>
      <c r="U5" s="71">
        <v>19</v>
      </c>
      <c r="V5" s="71">
        <v>20</v>
      </c>
    </row>
    <row r="6" spans="1:22" x14ac:dyDescent="0.25">
      <c r="A6" s="72" t="s">
        <v>205</v>
      </c>
      <c r="B6" s="77">
        <v>0</v>
      </c>
      <c r="C6" s="77">
        <f>TIC!C30*40%</f>
        <v>635.15328000000011</v>
      </c>
      <c r="D6" s="77">
        <f>TIC!C30*60%</f>
        <v>952.72992000000011</v>
      </c>
      <c r="E6" s="77">
        <v>0</v>
      </c>
      <c r="F6" s="77">
        <v>0</v>
      </c>
      <c r="G6" s="77">
        <v>0</v>
      </c>
      <c r="H6" s="77">
        <v>0</v>
      </c>
      <c r="I6" s="77">
        <v>0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x14ac:dyDescent="0.25">
      <c r="A7" s="72" t="s">
        <v>104</v>
      </c>
      <c r="B7" s="77">
        <v>0</v>
      </c>
      <c r="C7" s="77">
        <f>TIC!C15</f>
        <v>1392.88</v>
      </c>
      <c r="D7" s="80">
        <v>0</v>
      </c>
      <c r="E7" s="77">
        <v>0</v>
      </c>
      <c r="F7" s="77">
        <v>0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x14ac:dyDescent="0.25">
      <c r="A8" s="72" t="s">
        <v>206</v>
      </c>
      <c r="B8" s="77">
        <v>0</v>
      </c>
      <c r="C8" s="77">
        <v>0</v>
      </c>
      <c r="D8" s="77">
        <f>TIC!C27</f>
        <v>557.15200000000004</v>
      </c>
      <c r="E8" s="77">
        <v>0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x14ac:dyDescent="0.25">
      <c r="A9" s="72" t="s">
        <v>207</v>
      </c>
      <c r="B9" s="77">
        <v>0</v>
      </c>
      <c r="C9" s="77">
        <v>0</v>
      </c>
      <c r="D9" s="77">
        <v>0</v>
      </c>
      <c r="E9" s="77">
        <f>'PI, BEP, BEC'!$F$13*E4</f>
        <v>42207232.000000007</v>
      </c>
      <c r="F9" s="77">
        <f>'PI, BEP, BEC'!$F$13*F4</f>
        <v>42207232.000000007</v>
      </c>
      <c r="G9" s="77">
        <f>'PI, BEP, BEC'!$F$13*G4</f>
        <v>42207232.000000007</v>
      </c>
      <c r="H9" s="77">
        <f>'PI, BEP, BEC'!$F$13*H4</f>
        <v>42207232.000000007</v>
      </c>
      <c r="I9" s="77">
        <f>'PI, BEP, BEC'!$F$13*I4</f>
        <v>42207232.000000007</v>
      </c>
      <c r="J9" s="77">
        <f>'PI, BEP, BEC'!$F$13*J4</f>
        <v>42207232.000000007</v>
      </c>
      <c r="K9" s="77">
        <f>'PI, BEP, BEC'!$F$13*K4</f>
        <v>42207232.000000007</v>
      </c>
      <c r="L9" s="77">
        <f>'PI, BEP, BEC'!$F$13*L4</f>
        <v>42207232.000000007</v>
      </c>
      <c r="M9" s="77">
        <f>'PI, BEP, BEC'!$F$13*M4</f>
        <v>42207232.000000007</v>
      </c>
      <c r="N9" s="77">
        <f>'PI, BEP, BEC'!$F$13*N4</f>
        <v>42207232.000000007</v>
      </c>
      <c r="O9" s="77">
        <f>'PI, BEP, BEC'!$F$13*O4</f>
        <v>42207232.000000007</v>
      </c>
      <c r="P9" s="77">
        <f>'PI, BEP, BEC'!$F$13*P4</f>
        <v>42207232.000000007</v>
      </c>
      <c r="Q9" s="77">
        <f>'PI, BEP, BEC'!$F$13*Q4</f>
        <v>42207232.000000007</v>
      </c>
      <c r="R9" s="77">
        <f>'PI, BEP, BEC'!$F$13*R4</f>
        <v>42207232.000000007</v>
      </c>
      <c r="S9" s="77">
        <f>'PI, BEP, BEC'!$F$13*S4</f>
        <v>42207232.000000007</v>
      </c>
      <c r="T9" s="77">
        <f>'PI, BEP, BEC'!$F$13*T4</f>
        <v>42207232.000000007</v>
      </c>
      <c r="U9" s="77">
        <f>'PI, BEP, BEC'!$F$13*U4</f>
        <v>42207232.000000007</v>
      </c>
      <c r="V9" s="77">
        <f>'PI, BEP, BEC'!$F$13*V4</f>
        <v>42207232.000000007</v>
      </c>
    </row>
    <row r="10" spans="1:22" x14ac:dyDescent="0.25">
      <c r="A10" s="72" t="s">
        <v>175</v>
      </c>
      <c r="B10" s="77">
        <v>0</v>
      </c>
      <c r="C10" s="77">
        <v>0</v>
      </c>
      <c r="D10" s="77">
        <v>0</v>
      </c>
      <c r="E10" s="77">
        <f>'PI, BEP, BEC'!$F$7</f>
        <v>428.72846400000009</v>
      </c>
      <c r="F10" s="77">
        <f>'PI, BEP, BEC'!$F$7</f>
        <v>428.72846400000009</v>
      </c>
      <c r="G10" s="77">
        <f>'PI, BEP, BEC'!$F$7</f>
        <v>428.72846400000009</v>
      </c>
      <c r="H10" s="77">
        <f>'PI, BEP, BEC'!$F$7</f>
        <v>428.72846400000009</v>
      </c>
      <c r="I10" s="77">
        <f>'PI, BEP, BEC'!$F$7</f>
        <v>428.72846400000009</v>
      </c>
      <c r="J10" s="77">
        <f>'PI, BEP, BEC'!$F$7</f>
        <v>428.72846400000009</v>
      </c>
      <c r="K10" s="77">
        <f>'PI, BEP, BEC'!$F$7</f>
        <v>428.72846400000009</v>
      </c>
      <c r="L10" s="77">
        <f>'PI, BEP, BEC'!$F$7</f>
        <v>428.72846400000009</v>
      </c>
      <c r="M10" s="77">
        <f>'PI, BEP, BEC'!$F$7</f>
        <v>428.72846400000009</v>
      </c>
      <c r="N10" s="77">
        <f>'PI, BEP, BEC'!$F$7</f>
        <v>428.72846400000009</v>
      </c>
      <c r="O10" s="77">
        <f>'PI, BEP, BEC'!$F$7</f>
        <v>428.72846400000009</v>
      </c>
      <c r="P10" s="77">
        <f>'PI, BEP, BEC'!$F$7</f>
        <v>428.72846400000009</v>
      </c>
      <c r="Q10" s="77">
        <f>'PI, BEP, BEC'!$F$7</f>
        <v>428.72846400000009</v>
      </c>
      <c r="R10" s="77">
        <f>'PI, BEP, BEC'!$F$7</f>
        <v>428.72846400000009</v>
      </c>
      <c r="S10" s="77">
        <f>'PI, BEP, BEC'!$F$7</f>
        <v>428.72846400000009</v>
      </c>
      <c r="T10" s="77">
        <f>'PI, BEP, BEC'!$F$7</f>
        <v>428.72846400000009</v>
      </c>
      <c r="U10" s="77">
        <f>'PI, BEP, BEC'!$F$7</f>
        <v>428.72846400000009</v>
      </c>
      <c r="V10" s="77">
        <f>'PI, BEP, BEC'!$F$7</f>
        <v>428.72846400000009</v>
      </c>
    </row>
    <row r="11" spans="1:22" x14ac:dyDescent="0.25">
      <c r="A11" s="72" t="s">
        <v>142</v>
      </c>
      <c r="B11" s="77">
        <v>0</v>
      </c>
      <c r="C11" s="77">
        <v>0</v>
      </c>
      <c r="D11" s="77">
        <v>0</v>
      </c>
      <c r="E11" s="77">
        <f>'PI, BEP, BEC'!$F$14*E4</f>
        <v>45738000</v>
      </c>
      <c r="F11" s="77">
        <f>'PI, BEP, BEC'!$F$14*F4</f>
        <v>45738000</v>
      </c>
      <c r="G11" s="77">
        <f>'PI, BEP, BEC'!$F$14*G4</f>
        <v>45738000</v>
      </c>
      <c r="H11" s="77">
        <f>'PI, BEP, BEC'!$F$14*H4</f>
        <v>45738000</v>
      </c>
      <c r="I11" s="77">
        <f>'PI, BEP, BEC'!$F$14*I4</f>
        <v>45738000</v>
      </c>
      <c r="J11" s="77">
        <f>'PI, BEP, BEC'!$F$14*J4</f>
        <v>45738000</v>
      </c>
      <c r="K11" s="77">
        <f>'PI, BEP, BEC'!$F$14*K4</f>
        <v>45738000</v>
      </c>
      <c r="L11" s="77">
        <f>'PI, BEP, BEC'!$F$14*L4</f>
        <v>45738000</v>
      </c>
      <c r="M11" s="77">
        <f>'PI, BEP, BEC'!$F$14*M4</f>
        <v>45738000</v>
      </c>
      <c r="N11" s="77">
        <f>'PI, BEP, BEC'!$F$14*N4</f>
        <v>45738000</v>
      </c>
      <c r="O11" s="77">
        <f>'PI, BEP, BEC'!$F$14*O4</f>
        <v>45738000</v>
      </c>
      <c r="P11" s="77">
        <f>'PI, BEP, BEC'!$F$14*P4</f>
        <v>45738000</v>
      </c>
      <c r="Q11" s="77">
        <f>'PI, BEP, BEC'!$F$14*Q4</f>
        <v>45738000</v>
      </c>
      <c r="R11" s="77">
        <f>'PI, BEP, BEC'!$F$14*R4</f>
        <v>45738000</v>
      </c>
      <c r="S11" s="77">
        <f>'PI, BEP, BEC'!$F$14*S4</f>
        <v>45738000</v>
      </c>
      <c r="T11" s="77">
        <f>'PI, BEP, BEC'!$F$14*T4</f>
        <v>45738000</v>
      </c>
      <c r="U11" s="77">
        <f>'PI, BEP, BEC'!$F$14*U4</f>
        <v>45738000</v>
      </c>
      <c r="V11" s="77">
        <f>'PI, BEP, BEC'!$F$14*V4</f>
        <v>45738000</v>
      </c>
    </row>
    <row r="12" spans="1:22" x14ac:dyDescent="0.25">
      <c r="A12" s="72" t="s">
        <v>180</v>
      </c>
      <c r="B12" s="77">
        <v>0</v>
      </c>
      <c r="C12" s="77">
        <v>0</v>
      </c>
      <c r="D12" s="77">
        <v>0</v>
      </c>
      <c r="E12" s="77">
        <f>'PI, BEP, BEC'!$F$5</f>
        <v>79.394160000000014</v>
      </c>
      <c r="F12" s="77">
        <f>'PI, BEP, BEC'!$F$5</f>
        <v>79.394160000000014</v>
      </c>
      <c r="G12" s="77">
        <f>'PI, BEP, BEC'!$F$5</f>
        <v>79.394160000000014</v>
      </c>
      <c r="H12" s="77">
        <f>'PI, BEP, BEC'!$F$5</f>
        <v>79.394160000000014</v>
      </c>
      <c r="I12" s="77">
        <f>'PI, BEP, BEC'!$F$5</f>
        <v>79.394160000000014</v>
      </c>
      <c r="J12" s="77">
        <f>'PI, BEP, BEC'!$F$5</f>
        <v>79.394160000000014</v>
      </c>
      <c r="K12" s="77">
        <f>'PI, BEP, BEC'!$F$5</f>
        <v>79.394160000000014</v>
      </c>
      <c r="L12" s="77">
        <f>'PI, BEP, BEC'!$F$5</f>
        <v>79.394160000000014</v>
      </c>
      <c r="M12" s="77">
        <f>'PI, BEP, BEC'!$F$5</f>
        <v>79.394160000000014</v>
      </c>
      <c r="N12" s="77">
        <f>'PI, BEP, BEC'!$F$5</f>
        <v>79.394160000000014</v>
      </c>
      <c r="O12" s="77">
        <f>'PI, BEP, BEC'!$F$5</f>
        <v>79.394160000000014</v>
      </c>
      <c r="P12" s="77">
        <f>'PI, BEP, BEC'!$F$5</f>
        <v>79.394160000000014</v>
      </c>
      <c r="Q12" s="77">
        <f>'PI, BEP, BEC'!$F$5</f>
        <v>79.394160000000014</v>
      </c>
      <c r="R12" s="77">
        <f>'PI, BEP, BEC'!$F$5</f>
        <v>79.394160000000014</v>
      </c>
      <c r="S12" s="77">
        <f>'PI, BEP, BEC'!$F$5</f>
        <v>79.394160000000014</v>
      </c>
      <c r="T12" s="77">
        <f>'PI, BEP, BEC'!$F$5</f>
        <v>79.394160000000014</v>
      </c>
      <c r="U12" s="77">
        <f>'PI, BEP, BEC'!$F$5</f>
        <v>79.394160000000014</v>
      </c>
      <c r="V12" s="77">
        <f>'PI, BEP, BEC'!$F$5</f>
        <v>79.394160000000014</v>
      </c>
    </row>
    <row r="13" spans="1:22" x14ac:dyDescent="0.25">
      <c r="A13" s="72" t="s">
        <v>208</v>
      </c>
      <c r="B13" s="77">
        <v>0</v>
      </c>
      <c r="C13" s="77">
        <v>0</v>
      </c>
      <c r="D13" s="77">
        <v>0</v>
      </c>
      <c r="E13" s="77">
        <f>E11-(E9+E10)</f>
        <v>3530339.2715359926</v>
      </c>
      <c r="F13" s="77">
        <f t="shared" ref="F13:V13" si="0">F11-(F9+F10)</f>
        <v>3530339.2715359926</v>
      </c>
      <c r="G13" s="77">
        <f t="shared" si="0"/>
        <v>3530339.2715359926</v>
      </c>
      <c r="H13" s="77">
        <f t="shared" si="0"/>
        <v>3530339.2715359926</v>
      </c>
      <c r="I13" s="77">
        <f t="shared" si="0"/>
        <v>3530339.2715359926</v>
      </c>
      <c r="J13" s="77">
        <f t="shared" si="0"/>
        <v>3530339.2715359926</v>
      </c>
      <c r="K13" s="77">
        <f t="shared" si="0"/>
        <v>3530339.2715359926</v>
      </c>
      <c r="L13" s="77">
        <f t="shared" si="0"/>
        <v>3530339.2715359926</v>
      </c>
      <c r="M13" s="77">
        <f t="shared" si="0"/>
        <v>3530339.2715359926</v>
      </c>
      <c r="N13" s="77">
        <f t="shared" si="0"/>
        <v>3530339.2715359926</v>
      </c>
      <c r="O13" s="77">
        <f t="shared" si="0"/>
        <v>3530339.2715359926</v>
      </c>
      <c r="P13" s="77">
        <f t="shared" si="0"/>
        <v>3530339.2715359926</v>
      </c>
      <c r="Q13" s="77">
        <f t="shared" si="0"/>
        <v>3530339.2715359926</v>
      </c>
      <c r="R13" s="77">
        <f t="shared" si="0"/>
        <v>3530339.2715359926</v>
      </c>
      <c r="S13" s="77">
        <f t="shared" si="0"/>
        <v>3530339.2715359926</v>
      </c>
      <c r="T13" s="77">
        <f t="shared" si="0"/>
        <v>3530339.2715359926</v>
      </c>
      <c r="U13" s="77">
        <f t="shared" si="0"/>
        <v>3530339.2715359926</v>
      </c>
      <c r="V13" s="77">
        <f t="shared" si="0"/>
        <v>3530339.2715359926</v>
      </c>
    </row>
    <row r="14" spans="1:22" x14ac:dyDescent="0.25">
      <c r="A14" s="72" t="s">
        <v>209</v>
      </c>
      <c r="B14" s="77">
        <v>0</v>
      </c>
      <c r="C14" s="77">
        <v>0</v>
      </c>
      <c r="D14" s="77">
        <v>0</v>
      </c>
      <c r="E14" s="77">
        <f>E13-E12</f>
        <v>3530259.8773759925</v>
      </c>
      <c r="F14" s="77">
        <f>F13-F12</f>
        <v>3530259.8773759925</v>
      </c>
      <c r="G14" s="77">
        <f t="shared" ref="G14:V14" si="1">G13-G12</f>
        <v>3530259.8773759925</v>
      </c>
      <c r="H14" s="77">
        <f t="shared" si="1"/>
        <v>3530259.8773759925</v>
      </c>
      <c r="I14" s="77">
        <f t="shared" si="1"/>
        <v>3530259.8773759925</v>
      </c>
      <c r="J14" s="77">
        <f t="shared" si="1"/>
        <v>3530259.8773759925</v>
      </c>
      <c r="K14" s="77">
        <f t="shared" si="1"/>
        <v>3530259.8773759925</v>
      </c>
      <c r="L14" s="77">
        <f t="shared" si="1"/>
        <v>3530259.8773759925</v>
      </c>
      <c r="M14" s="77">
        <f t="shared" si="1"/>
        <v>3530259.8773759925</v>
      </c>
      <c r="N14" s="77">
        <f t="shared" si="1"/>
        <v>3530259.8773759925</v>
      </c>
      <c r="O14" s="77">
        <f t="shared" si="1"/>
        <v>3530259.8773759925</v>
      </c>
      <c r="P14" s="77">
        <f t="shared" si="1"/>
        <v>3530259.8773759925</v>
      </c>
      <c r="Q14" s="77">
        <f t="shared" si="1"/>
        <v>3530259.8773759925</v>
      </c>
      <c r="R14" s="77">
        <f t="shared" si="1"/>
        <v>3530259.8773759925</v>
      </c>
      <c r="S14" s="77">
        <f t="shared" si="1"/>
        <v>3530259.8773759925</v>
      </c>
      <c r="T14" s="77">
        <f t="shared" si="1"/>
        <v>3530259.8773759925</v>
      </c>
      <c r="U14" s="77">
        <f t="shared" si="1"/>
        <v>3530259.8773759925</v>
      </c>
      <c r="V14" s="77">
        <f t="shared" si="1"/>
        <v>3530259.8773759925</v>
      </c>
    </row>
    <row r="15" spans="1:22" x14ac:dyDescent="0.25">
      <c r="A15" s="72" t="s">
        <v>210</v>
      </c>
      <c r="B15" s="77">
        <v>0</v>
      </c>
      <c r="C15" s="77">
        <v>0</v>
      </c>
      <c r="D15" s="77">
        <v>0</v>
      </c>
      <c r="E15" s="77">
        <f>E14*10%</f>
        <v>353025.98773759929</v>
      </c>
      <c r="F15" s="77">
        <f t="shared" ref="F15:V15" si="2">F14*10%</f>
        <v>353025.98773759929</v>
      </c>
      <c r="G15" s="77">
        <f t="shared" si="2"/>
        <v>353025.98773759929</v>
      </c>
      <c r="H15" s="77">
        <f t="shared" si="2"/>
        <v>353025.98773759929</v>
      </c>
      <c r="I15" s="77">
        <f t="shared" si="2"/>
        <v>353025.98773759929</v>
      </c>
      <c r="J15" s="77">
        <f t="shared" si="2"/>
        <v>353025.98773759929</v>
      </c>
      <c r="K15" s="77">
        <f t="shared" si="2"/>
        <v>353025.98773759929</v>
      </c>
      <c r="L15" s="77">
        <f t="shared" si="2"/>
        <v>353025.98773759929</v>
      </c>
      <c r="M15" s="77">
        <f t="shared" si="2"/>
        <v>353025.98773759929</v>
      </c>
      <c r="N15" s="77">
        <f t="shared" si="2"/>
        <v>353025.98773759929</v>
      </c>
      <c r="O15" s="77">
        <f t="shared" si="2"/>
        <v>353025.98773759929</v>
      </c>
      <c r="P15" s="77">
        <f t="shared" si="2"/>
        <v>353025.98773759929</v>
      </c>
      <c r="Q15" s="77">
        <f t="shared" si="2"/>
        <v>353025.98773759929</v>
      </c>
      <c r="R15" s="77">
        <f t="shared" si="2"/>
        <v>353025.98773759929</v>
      </c>
      <c r="S15" s="77">
        <f t="shared" si="2"/>
        <v>353025.98773759929</v>
      </c>
      <c r="T15" s="77">
        <f t="shared" si="2"/>
        <v>353025.98773759929</v>
      </c>
      <c r="U15" s="77">
        <f t="shared" si="2"/>
        <v>353025.98773759929</v>
      </c>
      <c r="V15" s="77">
        <f t="shared" si="2"/>
        <v>353025.98773759929</v>
      </c>
    </row>
    <row r="16" spans="1:22" x14ac:dyDescent="0.25">
      <c r="A16" s="72" t="s">
        <v>211</v>
      </c>
      <c r="B16" s="77">
        <v>0</v>
      </c>
      <c r="C16" s="77">
        <v>0</v>
      </c>
      <c r="D16" s="77">
        <v>0</v>
      </c>
      <c r="E16" s="77">
        <f>E14-E15</f>
        <v>3177233.8896383932</v>
      </c>
      <c r="F16" s="77">
        <f t="shared" ref="F16:V16" si="3">F14-F15</f>
        <v>3177233.8896383932</v>
      </c>
      <c r="G16" s="77">
        <f t="shared" si="3"/>
        <v>3177233.8896383932</v>
      </c>
      <c r="H16" s="77">
        <f t="shared" si="3"/>
        <v>3177233.8896383932</v>
      </c>
      <c r="I16" s="77">
        <f t="shared" si="3"/>
        <v>3177233.8896383932</v>
      </c>
      <c r="J16" s="77">
        <f t="shared" si="3"/>
        <v>3177233.8896383932</v>
      </c>
      <c r="K16" s="77">
        <f t="shared" si="3"/>
        <v>3177233.8896383932</v>
      </c>
      <c r="L16" s="77">
        <f t="shared" si="3"/>
        <v>3177233.8896383932</v>
      </c>
      <c r="M16" s="77">
        <f t="shared" si="3"/>
        <v>3177233.8896383932</v>
      </c>
      <c r="N16" s="77">
        <f t="shared" si="3"/>
        <v>3177233.8896383932</v>
      </c>
      <c r="O16" s="77">
        <f t="shared" si="3"/>
        <v>3177233.8896383932</v>
      </c>
      <c r="P16" s="77">
        <f t="shared" si="3"/>
        <v>3177233.8896383932</v>
      </c>
      <c r="Q16" s="77">
        <f t="shared" si="3"/>
        <v>3177233.8896383932</v>
      </c>
      <c r="R16" s="77">
        <f t="shared" si="3"/>
        <v>3177233.8896383932</v>
      </c>
      <c r="S16" s="77">
        <f t="shared" si="3"/>
        <v>3177233.8896383932</v>
      </c>
      <c r="T16" s="77">
        <f t="shared" si="3"/>
        <v>3177233.8896383932</v>
      </c>
      <c r="U16" s="77">
        <f t="shared" si="3"/>
        <v>3177233.8896383932</v>
      </c>
      <c r="V16" s="77">
        <f t="shared" si="3"/>
        <v>3177233.8896383932</v>
      </c>
    </row>
    <row r="17" spans="1:22" x14ac:dyDescent="0.25">
      <c r="A17" s="72" t="s">
        <v>212</v>
      </c>
      <c r="B17" s="77">
        <v>0</v>
      </c>
      <c r="C17" s="77">
        <f>C16+C12-C8-C7-C6</f>
        <v>-2028.0332800000001</v>
      </c>
      <c r="D17" s="77">
        <f>D16+D12-D8-D7-D6</f>
        <v>-1509.8819200000003</v>
      </c>
      <c r="E17" s="77">
        <f>E16+E12-E8-E7-E6</f>
        <v>3177313.2837983933</v>
      </c>
      <c r="F17" s="77">
        <f>F16+F12-F8-F7-F6</f>
        <v>3177313.2837983933</v>
      </c>
      <c r="G17" s="77">
        <f t="shared" ref="G17" si="4">G16+G12-G8-G7-G6</f>
        <v>3177313.2837983933</v>
      </c>
      <c r="H17" s="77">
        <f t="shared" ref="H17" si="5">H16+H12-H8-H7-H6</f>
        <v>3177313.2837983933</v>
      </c>
      <c r="I17" s="77">
        <f t="shared" ref="I17" si="6">I16+I12-I8-I7-I6</f>
        <v>3177313.2837983933</v>
      </c>
      <c r="J17" s="77">
        <f t="shared" ref="J17" si="7">J16+J12-J8-J7-J6</f>
        <v>3177313.2837983933</v>
      </c>
      <c r="K17" s="77">
        <f t="shared" ref="K17" si="8">K16+K12-K8-K7-K6</f>
        <v>3177313.2837983933</v>
      </c>
      <c r="L17" s="77">
        <f t="shared" ref="L17" si="9">L16+L12-L8-L7-L6</f>
        <v>3177313.2837983933</v>
      </c>
      <c r="M17" s="77">
        <f t="shared" ref="M17" si="10">M16+M12-M8-M7-M6</f>
        <v>3177313.2837983933</v>
      </c>
      <c r="N17" s="77">
        <f t="shared" ref="N17" si="11">N16+N12-N8-N7-N6</f>
        <v>3177313.2837983933</v>
      </c>
      <c r="O17" s="77">
        <f t="shared" ref="O17" si="12">O16+O12-O8-O7-O6</f>
        <v>3177313.2837983933</v>
      </c>
      <c r="P17" s="77">
        <f t="shared" ref="P17" si="13">P16+P12-P8-P7-P6</f>
        <v>3177313.2837983933</v>
      </c>
      <c r="Q17" s="77">
        <f t="shared" ref="Q17" si="14">Q16+Q12-Q8-Q7-Q6</f>
        <v>3177313.2837983933</v>
      </c>
      <c r="R17" s="77">
        <f t="shared" ref="R17" si="15">R16+R12-R8-R7-R6</f>
        <v>3177313.2837983933</v>
      </c>
      <c r="S17" s="77">
        <f t="shared" ref="S17" si="16">S16+S12-S8-S7-S6</f>
        <v>3177313.2837983933</v>
      </c>
      <c r="T17" s="77">
        <f t="shared" ref="T17:V17" si="17">T16+T12-T8-T7-T6</f>
        <v>3177313.2837983933</v>
      </c>
      <c r="U17" s="77">
        <f t="shared" si="17"/>
        <v>3177313.2837983933</v>
      </c>
      <c r="V17" s="77">
        <f t="shared" si="17"/>
        <v>3177313.2837983933</v>
      </c>
    </row>
    <row r="18" spans="1:22" x14ac:dyDescent="0.25">
      <c r="A18" s="75" t="s">
        <v>213</v>
      </c>
      <c r="B18" s="81">
        <v>0</v>
      </c>
      <c r="C18" s="81">
        <f>C17+B18</f>
        <v>-2028.0332800000001</v>
      </c>
      <c r="D18" s="81">
        <f t="shared" ref="D18" si="18">D17+C18</f>
        <v>-3537.9152000000004</v>
      </c>
      <c r="E18" s="81">
        <f>E17+D18</f>
        <v>3173775.3685983932</v>
      </c>
      <c r="F18" s="81">
        <f t="shared" ref="F18" si="19">F17+E18</f>
        <v>6351088.652396787</v>
      </c>
      <c r="G18" s="81">
        <f t="shared" ref="G18" si="20">G17+F18</f>
        <v>9528401.9361951798</v>
      </c>
      <c r="H18" s="81">
        <f t="shared" ref="H18" si="21">H17+G18</f>
        <v>12705715.219993573</v>
      </c>
      <c r="I18" s="81">
        <f t="shared" ref="I18" si="22">I17+H18</f>
        <v>15883028.503791966</v>
      </c>
      <c r="J18" s="81">
        <f t="shared" ref="J18" si="23">J17+I18</f>
        <v>19060341.787590358</v>
      </c>
      <c r="K18" s="81">
        <f t="shared" ref="K18" si="24">K17+J18</f>
        <v>22237655.071388751</v>
      </c>
      <c r="L18" s="81">
        <f t="shared" ref="L18" si="25">L17+K18</f>
        <v>25414968.355187144</v>
      </c>
      <c r="M18" s="81">
        <f t="shared" ref="M18" si="26">M17+L18</f>
        <v>28592281.638985537</v>
      </c>
      <c r="N18" s="81">
        <f t="shared" ref="N18" si="27">N17+M18</f>
        <v>31769594.92278393</v>
      </c>
      <c r="O18" s="81">
        <f t="shared" ref="O18" si="28">O17+N18</f>
        <v>34946908.206582323</v>
      </c>
      <c r="P18" s="81">
        <f t="shared" ref="P18" si="29">P17+O18</f>
        <v>38124221.490380719</v>
      </c>
      <c r="Q18" s="81">
        <f t="shared" ref="Q18" si="30">Q17+P18</f>
        <v>41301534.774179116</v>
      </c>
      <c r="R18" s="81">
        <f t="shared" ref="R18" si="31">R17+Q18</f>
        <v>44478848.057977512</v>
      </c>
      <c r="S18" s="81">
        <f t="shared" ref="S18" si="32">S17+R18</f>
        <v>47656161.341775909</v>
      </c>
      <c r="T18" s="81">
        <f t="shared" ref="T18" si="33">T17+S18</f>
        <v>50833474.625574306</v>
      </c>
      <c r="U18" s="81">
        <f t="shared" ref="U18" si="34">U17+T18</f>
        <v>54010787.909372702</v>
      </c>
      <c r="V18" s="81">
        <f t="shared" ref="V18" si="35">V17+U18</f>
        <v>57188101.193171099</v>
      </c>
    </row>
    <row r="19" spans="1:22" x14ac:dyDescent="0.25">
      <c r="A19" s="72" t="s">
        <v>214</v>
      </c>
      <c r="B19" s="77">
        <v>0</v>
      </c>
      <c r="C19" s="77">
        <f>(1+C3)^(-1*C5)</f>
        <v>0.86956521739130443</v>
      </c>
      <c r="D19" s="77">
        <f t="shared" ref="D19:V19" si="36">(1+D3)^(-1*D5)</f>
        <v>0.7561436672967865</v>
      </c>
      <c r="E19" s="77">
        <f t="shared" si="36"/>
        <v>0.65751623243198831</v>
      </c>
      <c r="F19" s="77">
        <f t="shared" si="36"/>
        <v>0.57175324559303342</v>
      </c>
      <c r="G19" s="77">
        <f t="shared" si="36"/>
        <v>0.49717673529828987</v>
      </c>
      <c r="H19" s="77">
        <f t="shared" si="36"/>
        <v>0.43232759591155645</v>
      </c>
      <c r="I19" s="77">
        <f t="shared" si="36"/>
        <v>0.37593703992309269</v>
      </c>
      <c r="J19" s="77">
        <f t="shared" si="36"/>
        <v>0.32690177384616753</v>
      </c>
      <c r="K19" s="77">
        <f t="shared" si="36"/>
        <v>0.28426241204014574</v>
      </c>
      <c r="L19" s="77">
        <f t="shared" si="36"/>
        <v>0.24718470612186585</v>
      </c>
      <c r="M19" s="77">
        <f t="shared" si="36"/>
        <v>0.21494322271466598</v>
      </c>
      <c r="N19" s="77">
        <f t="shared" si="36"/>
        <v>0.18690715018666609</v>
      </c>
      <c r="O19" s="77">
        <f t="shared" si="36"/>
        <v>0.16252795668405748</v>
      </c>
      <c r="P19" s="77">
        <f t="shared" si="36"/>
        <v>0.14132865798613695</v>
      </c>
      <c r="Q19" s="77">
        <f t="shared" si="36"/>
        <v>0.1228944852053365</v>
      </c>
      <c r="R19" s="77">
        <f t="shared" si="36"/>
        <v>0.10686476974377089</v>
      </c>
      <c r="S19" s="77">
        <f t="shared" si="36"/>
        <v>9.2925886733713825E-2</v>
      </c>
      <c r="T19" s="77">
        <f t="shared" si="36"/>
        <v>8.0805118898881603E-2</v>
      </c>
      <c r="U19" s="77">
        <f t="shared" si="36"/>
        <v>7.0265320781636179E-2</v>
      </c>
      <c r="V19" s="77">
        <f t="shared" si="36"/>
        <v>6.1100278940553199E-2</v>
      </c>
    </row>
    <row r="20" spans="1:22" x14ac:dyDescent="0.25">
      <c r="A20" s="70" t="s">
        <v>215</v>
      </c>
      <c r="B20" s="82">
        <v>0</v>
      </c>
      <c r="C20" s="82">
        <f>C17*C19</f>
        <v>-1763.5072000000002</v>
      </c>
      <c r="D20" s="82">
        <f t="shared" ref="D20:E20" si="37">D17*D19</f>
        <v>-1141.6876521739134</v>
      </c>
      <c r="E20" s="82">
        <f t="shared" si="37"/>
        <v>2089135.0596192284</v>
      </c>
      <c r="F20" s="82">
        <f t="shared" ref="F20" si="38">F17*F19</f>
        <v>1816639.1822775903</v>
      </c>
      <c r="G20" s="82">
        <f t="shared" ref="G20" si="39">G17*G19</f>
        <v>1579686.245458774</v>
      </c>
      <c r="H20" s="82">
        <f t="shared" ref="H20" si="40">H17*H19</f>
        <v>1373640.2134424122</v>
      </c>
      <c r="I20" s="82">
        <f t="shared" ref="I20" si="41">I17*I19</f>
        <v>1194469.7508194894</v>
      </c>
      <c r="J20" s="82">
        <f t="shared" ref="J20" si="42">J17*J19</f>
        <v>1038669.3485386863</v>
      </c>
      <c r="K20" s="82">
        <f t="shared" ref="K20" si="43">K17*K19</f>
        <v>903190.73785972735</v>
      </c>
      <c r="L20" s="82">
        <f t="shared" ref="L20" si="44">L17*L19</f>
        <v>785383.25031280646</v>
      </c>
      <c r="M20" s="82">
        <f t="shared" ref="M20" si="45">M17*M19</f>
        <v>682941.95679374482</v>
      </c>
      <c r="N20" s="82">
        <f t="shared" ref="N20" si="46">N17*N19</f>
        <v>593862.57112499548</v>
      </c>
      <c r="O20" s="82">
        <f t="shared" ref="O20" si="47">O17*O19</f>
        <v>516402.23576086567</v>
      </c>
      <c r="P20" s="82">
        <f t="shared" ref="P20" si="48">P17*P19</f>
        <v>449045.42240075278</v>
      </c>
      <c r="Q20" s="82">
        <f t="shared" ref="Q20" si="49">Q17*Q19</f>
        <v>390474.2803484808</v>
      </c>
      <c r="R20" s="82">
        <f t="shared" ref="R20" si="50">R17*R19</f>
        <v>339542.85247693985</v>
      </c>
      <c r="S20" s="82">
        <f t="shared" ref="S20" si="51">S17*S19</f>
        <v>295254.65432777384</v>
      </c>
      <c r="T20" s="82">
        <f t="shared" ref="T20:V20" si="52">T17*T19</f>
        <v>256743.17767632511</v>
      </c>
      <c r="U20" s="82">
        <f t="shared" si="52"/>
        <v>223254.93710984793</v>
      </c>
      <c r="V20" s="82">
        <f t="shared" si="52"/>
        <v>194134.72792160691</v>
      </c>
    </row>
    <row r="21" spans="1:22" x14ac:dyDescent="0.25">
      <c r="A21" s="70" t="s">
        <v>216</v>
      </c>
      <c r="B21" s="82">
        <v>0</v>
      </c>
      <c r="C21" s="82">
        <f>B21+C20</f>
        <v>-1763.5072000000002</v>
      </c>
      <c r="D21" s="82">
        <f t="shared" ref="D21:T21" si="53">C21+D20</f>
        <v>-2905.1948521739137</v>
      </c>
      <c r="E21" s="82">
        <f>D21+E20</f>
        <v>2086229.8647670543</v>
      </c>
      <c r="F21" s="82">
        <f t="shared" si="53"/>
        <v>3902869.0470446446</v>
      </c>
      <c r="G21" s="82">
        <f t="shared" si="53"/>
        <v>5482555.2925034184</v>
      </c>
      <c r="H21" s="82">
        <f t="shared" si="53"/>
        <v>6856195.5059458306</v>
      </c>
      <c r="I21" s="82">
        <f t="shared" si="53"/>
        <v>8050665.25676532</v>
      </c>
      <c r="J21" s="82">
        <f t="shared" si="53"/>
        <v>9089334.6053040065</v>
      </c>
      <c r="K21" s="82">
        <f t="shared" si="53"/>
        <v>9992525.3431637343</v>
      </c>
      <c r="L21" s="82">
        <f t="shared" si="53"/>
        <v>10777908.593476541</v>
      </c>
      <c r="M21" s="82">
        <f t="shared" si="53"/>
        <v>11460850.550270285</v>
      </c>
      <c r="N21" s="82">
        <f t="shared" si="53"/>
        <v>12054713.121395281</v>
      </c>
      <c r="O21" s="82">
        <f t="shared" si="53"/>
        <v>12571115.357156146</v>
      </c>
      <c r="P21" s="82">
        <f t="shared" si="53"/>
        <v>13020160.779556898</v>
      </c>
      <c r="Q21" s="82">
        <f t="shared" si="53"/>
        <v>13410635.05990538</v>
      </c>
      <c r="R21" s="82">
        <f t="shared" si="53"/>
        <v>13750177.91238232</v>
      </c>
      <c r="S21" s="82">
        <f t="shared" si="53"/>
        <v>14045432.566710094</v>
      </c>
      <c r="T21" s="82">
        <f t="shared" si="53"/>
        <v>14302175.74438642</v>
      </c>
      <c r="U21" s="82">
        <f t="shared" ref="U21" si="54">T21+U20</f>
        <v>14525430.681496268</v>
      </c>
      <c r="V21" s="82">
        <f t="shared" ref="V21" si="55">U21+V20</f>
        <v>14719565.409417875</v>
      </c>
    </row>
    <row r="22" spans="1:22" x14ac:dyDescent="0.25">
      <c r="A22" s="72" t="s">
        <v>217</v>
      </c>
      <c r="B22" s="77">
        <v>0</v>
      </c>
      <c r="C22" s="77">
        <f>C21/(TIC!$C$30+TIC!$C$15)</f>
        <v>-0.59162941893539212</v>
      </c>
      <c r="D22" s="77">
        <f>D21/(TIC!$C$30+TIC!$C$15)</f>
        <v>-0.97464798685582044</v>
      </c>
      <c r="E22" s="77">
        <f>E21/(TIC!$C$30+TIC!$C$15)</f>
        <v>699.89788681202651</v>
      </c>
      <c r="F22" s="77">
        <f>F21/(TIC!$C$30+TIC!$C$15)</f>
        <v>1309.3522648980115</v>
      </c>
      <c r="G22" s="77">
        <f>G21/(TIC!$C$30+TIC!$C$15)</f>
        <v>1839.312593668433</v>
      </c>
      <c r="H22" s="77">
        <f>H21/(TIC!$C$30+TIC!$C$15)</f>
        <v>2300.1476621644515</v>
      </c>
      <c r="I22" s="77">
        <f>I21/(TIC!$C$30+TIC!$C$15)</f>
        <v>2700.8738086827288</v>
      </c>
      <c r="J22" s="77">
        <f>J21/(TIC!$C$30+TIC!$C$15)</f>
        <v>3049.3313273942745</v>
      </c>
      <c r="K22" s="77">
        <f>K21/(TIC!$C$30+TIC!$C$15)</f>
        <v>3352.3378654043145</v>
      </c>
      <c r="L22" s="77">
        <f>L21/(TIC!$C$30+TIC!$C$15)</f>
        <v>3615.8218115000013</v>
      </c>
      <c r="M22" s="77">
        <f>M21/(TIC!$C$30+TIC!$C$15)</f>
        <v>3844.9382863658152</v>
      </c>
      <c r="N22" s="77">
        <f>N21/(TIC!$C$30+TIC!$C$15)</f>
        <v>4044.1700036404363</v>
      </c>
      <c r="O22" s="77">
        <f>O21/(TIC!$C$30+TIC!$C$15)</f>
        <v>4217.4149751835857</v>
      </c>
      <c r="P22" s="77">
        <f>P21/(TIC!$C$30+TIC!$C$15)</f>
        <v>4368.062776525454</v>
      </c>
      <c r="Q22" s="77">
        <f>Q21/(TIC!$C$30+TIC!$C$15)</f>
        <v>4499.0608646488181</v>
      </c>
      <c r="R22" s="77">
        <f>R21/(TIC!$C$30+TIC!$C$15)</f>
        <v>4612.9722456256568</v>
      </c>
      <c r="S22" s="77">
        <f>S21/(TIC!$C$30+TIC!$C$15)</f>
        <v>4712.0256203881245</v>
      </c>
      <c r="T22" s="77">
        <f>T21/(TIC!$C$30+TIC!$C$15)</f>
        <v>4798.1589897467929</v>
      </c>
      <c r="U22" s="77">
        <f>U21/(TIC!$C$30+TIC!$C$15)</f>
        <v>4873.057571797809</v>
      </c>
      <c r="V22" s="77">
        <f>V21/(TIC!$C$30+TIC!$C$15)</f>
        <v>4938.1867735813012</v>
      </c>
    </row>
    <row r="23" spans="1:22" x14ac:dyDescent="0.25">
      <c r="A23" s="72" t="s">
        <v>218</v>
      </c>
      <c r="B23" s="77">
        <f>IRR(B17:T17)</f>
        <v>38.718878096477518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</row>
    <row r="24" spans="1:22" x14ac:dyDescent="0.25">
      <c r="A24" s="76" t="s">
        <v>219</v>
      </c>
      <c r="B24" s="83">
        <f>(B21/TIC!$C$29)*100</f>
        <v>0</v>
      </c>
      <c r="C24" s="83">
        <f>(C21/TIC!$C$29)</f>
        <v>-0.59162941893539212</v>
      </c>
      <c r="D24" s="83">
        <f>(D21/TIC!$C$29)</f>
        <v>-0.97464798685582044</v>
      </c>
      <c r="E24" s="83">
        <f>(E21/TIC!$C$29)</f>
        <v>699.89788681202651</v>
      </c>
      <c r="F24" s="83">
        <f>(F21/TIC!$C$29)</f>
        <v>1309.3522648980115</v>
      </c>
      <c r="G24" s="83">
        <f>(G21/TIC!$C$29)</f>
        <v>1839.312593668433</v>
      </c>
      <c r="H24" s="83">
        <f>(H21/TIC!$C$29)</f>
        <v>2300.1476621644515</v>
      </c>
      <c r="I24" s="83">
        <f>(I21/TIC!$C$29)</f>
        <v>2700.8738086827288</v>
      </c>
      <c r="J24" s="83">
        <f>(J21/TIC!$C$29)</f>
        <v>3049.3313273942745</v>
      </c>
      <c r="K24" s="83">
        <f>(K21/TIC!$C$29)</f>
        <v>3352.3378654043145</v>
      </c>
      <c r="L24" s="83">
        <f>(L21/TIC!$C$29)</f>
        <v>3615.8218115000013</v>
      </c>
      <c r="M24" s="83">
        <f>(M21/TIC!$C$29)</f>
        <v>3844.9382863658152</v>
      </c>
      <c r="N24" s="83">
        <f>(N21/TIC!$C$29)</f>
        <v>4044.1700036404363</v>
      </c>
      <c r="O24" s="83">
        <f>(O21/TIC!$C$29)</f>
        <v>4217.4149751835857</v>
      </c>
      <c r="P24" s="83">
        <f>(P21/TIC!$C$29)</f>
        <v>4368.062776525454</v>
      </c>
      <c r="Q24" s="83">
        <f>(Q21/TIC!$C$29)</f>
        <v>4499.0608646488181</v>
      </c>
      <c r="R24" s="83">
        <f>(R21/TIC!$C$29)</f>
        <v>4612.9722456256568</v>
      </c>
      <c r="S24" s="83">
        <f>(S21/TIC!$C$29)</f>
        <v>4712.0256203881245</v>
      </c>
      <c r="T24" s="83">
        <f>(T21/TIC!$C$29)</f>
        <v>4798.1589897467929</v>
      </c>
      <c r="U24" s="83">
        <f>(U21/TIC!$C$29)</f>
        <v>4873.057571797809</v>
      </c>
      <c r="V24" s="83">
        <f>(V21/TIC!$C$29)</f>
        <v>4938.1867735813012</v>
      </c>
    </row>
    <row r="25" spans="1:22" x14ac:dyDescent="0.25">
      <c r="B25" s="84">
        <v>0</v>
      </c>
      <c r="C25" s="84">
        <v>-0.59162941893539223</v>
      </c>
      <c r="D25" s="84">
        <v>-0.97464798685582055</v>
      </c>
      <c r="E25" s="84">
        <v>600.89790000000005</v>
      </c>
      <c r="F25" s="84">
        <v>1309.3523</v>
      </c>
      <c r="G25" s="84">
        <v>1839.3126</v>
      </c>
      <c r="H25" s="84">
        <v>2300.1477</v>
      </c>
      <c r="I25" s="84">
        <v>2700.8737999999998</v>
      </c>
      <c r="J25" s="84">
        <v>3049.3312999999998</v>
      </c>
      <c r="K25" s="84">
        <v>3352.3379</v>
      </c>
      <c r="L25" s="84">
        <v>3615.8218000000002</v>
      </c>
      <c r="M25" s="84">
        <v>3844.9382999999998</v>
      </c>
      <c r="N25" s="84">
        <v>4044.17</v>
      </c>
      <c r="O25" s="84">
        <v>4217.415</v>
      </c>
      <c r="P25" s="84">
        <v>4368.0627999999997</v>
      </c>
      <c r="Q25" s="84">
        <v>4499.0609000000004</v>
      </c>
      <c r="R25" s="84">
        <v>4612.9722000000002</v>
      </c>
      <c r="S25" s="84">
        <v>4712.0255999999999</v>
      </c>
      <c r="T25" s="84">
        <v>4798.1589999999997</v>
      </c>
      <c r="U25" s="84">
        <v>4873.0576000000001</v>
      </c>
      <c r="V25" s="84">
        <v>4938.1868000000004</v>
      </c>
    </row>
    <row r="27" spans="1:22" x14ac:dyDescent="0.25">
      <c r="A27" s="78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opLeftCell="E19" workbookViewId="0">
      <selection activeCell="I34" sqref="I34"/>
    </sheetView>
  </sheetViews>
  <sheetFormatPr defaultRowHeight="15" x14ac:dyDescent="0.25"/>
  <cols>
    <col min="1" max="1" width="3.5703125" bestFit="1" customWidth="1"/>
    <col min="2" max="2" width="26.7109375" customWidth="1"/>
    <col min="3" max="3" width="15" bestFit="1" customWidth="1"/>
    <col min="5" max="6" width="16.140625" bestFit="1" customWidth="1"/>
    <col min="7" max="7" width="27" bestFit="1" customWidth="1"/>
    <col min="8" max="8" width="43.85546875" bestFit="1" customWidth="1"/>
    <col min="9" max="9" width="9" bestFit="1" customWidth="1"/>
  </cols>
  <sheetData>
    <row r="1" spans="1:9" x14ac:dyDescent="0.25">
      <c r="E1" t="s">
        <v>220</v>
      </c>
    </row>
    <row r="2" spans="1:9" x14ac:dyDescent="0.25">
      <c r="A2" s="85" t="s">
        <v>2</v>
      </c>
      <c r="B2" s="85" t="s">
        <v>3</v>
      </c>
      <c r="C2" s="87" t="s">
        <v>4</v>
      </c>
      <c r="E2" s="22" t="s">
        <v>221</v>
      </c>
      <c r="F2" s="109" t="s">
        <v>262</v>
      </c>
      <c r="G2" s="109" t="s">
        <v>263</v>
      </c>
      <c r="H2" s="106" t="s">
        <v>264</v>
      </c>
    </row>
    <row r="3" spans="1:9" x14ac:dyDescent="0.25">
      <c r="A3" s="88">
        <v>1</v>
      </c>
      <c r="B3" s="86" t="s">
        <v>262</v>
      </c>
      <c r="C3" s="89">
        <f>'Peralatan, RM dan Utilitas'!L17</f>
        <v>24396768</v>
      </c>
      <c r="E3" s="92">
        <v>-1</v>
      </c>
      <c r="F3" s="37">
        <f>$C$3+($C$3*E3)+($C$6-$C$3)</f>
        <v>14555692.800000004</v>
      </c>
      <c r="G3" s="37">
        <f>$C$4+($C$4*E3)+($C$6-$C$4)</f>
        <v>24721171.200000003</v>
      </c>
      <c r="H3" s="37">
        <f>$C$5+($C$5*E3)+($C$6-$C$5)</f>
        <v>38628057.600000001</v>
      </c>
    </row>
    <row r="4" spans="1:9" ht="16.5" customHeight="1" x14ac:dyDescent="0.25">
      <c r="A4" s="88">
        <v>2</v>
      </c>
      <c r="B4" s="86" t="s">
        <v>263</v>
      </c>
      <c r="C4" s="89">
        <f>'Peralatan, RM dan Utilitas'!L18</f>
        <v>14231289.6</v>
      </c>
      <c r="E4" s="92">
        <v>-0.5</v>
      </c>
      <c r="F4" s="37">
        <f t="shared" ref="F4:F11" si="0">$C$3+($C$3*E4)+($C$6-$C$3)</f>
        <v>26754076.800000004</v>
      </c>
      <c r="G4" s="37">
        <f t="shared" ref="G4:G11" si="1">$C$4+($C$4*E4)+($C$6-$C$4)</f>
        <v>31836816.000000004</v>
      </c>
      <c r="H4" s="37">
        <f t="shared" ref="H4:H11" si="2">$C$5+($C$5*E4)+($C$6-$C$5)</f>
        <v>38790259.200000003</v>
      </c>
    </row>
    <row r="5" spans="1:9" ht="30.75" customHeight="1" x14ac:dyDescent="0.25">
      <c r="A5" s="88">
        <v>3</v>
      </c>
      <c r="B5" s="107" t="s">
        <v>264</v>
      </c>
      <c r="C5" s="108">
        <f>'Peralatan, RM dan Utilitas'!L19</f>
        <v>324403.20000000001</v>
      </c>
      <c r="E5" s="92">
        <v>0</v>
      </c>
      <c r="F5" s="37">
        <f t="shared" si="0"/>
        <v>38952460.800000004</v>
      </c>
      <c r="G5" s="37">
        <f t="shared" si="1"/>
        <v>38952460.800000004</v>
      </c>
      <c r="H5" s="37">
        <f t="shared" si="2"/>
        <v>38952460.800000004</v>
      </c>
    </row>
    <row r="6" spans="1:9" x14ac:dyDescent="0.25">
      <c r="A6" s="130" t="s">
        <v>30</v>
      </c>
      <c r="B6" s="131"/>
      <c r="C6" s="37">
        <f>SUM(C3:C5)</f>
        <v>38952460.800000004</v>
      </c>
      <c r="E6" s="92">
        <v>0.5</v>
      </c>
      <c r="F6" s="37">
        <f t="shared" si="0"/>
        <v>51150844.800000004</v>
      </c>
      <c r="G6" s="37">
        <f t="shared" si="1"/>
        <v>46068105.600000001</v>
      </c>
      <c r="H6" s="37">
        <f t="shared" si="2"/>
        <v>39114662.399999999</v>
      </c>
    </row>
    <row r="7" spans="1:9" x14ac:dyDescent="0.25">
      <c r="E7" s="92">
        <v>1</v>
      </c>
      <c r="F7" s="37">
        <f t="shared" si="0"/>
        <v>63349228.800000004</v>
      </c>
      <c r="G7" s="37">
        <f t="shared" si="1"/>
        <v>53183750.400000006</v>
      </c>
      <c r="H7" s="37">
        <f t="shared" si="2"/>
        <v>39276864</v>
      </c>
    </row>
    <row r="8" spans="1:9" x14ac:dyDescent="0.25">
      <c r="B8" s="91" t="s">
        <v>222</v>
      </c>
      <c r="E8" s="92">
        <v>1.5</v>
      </c>
      <c r="F8" s="37">
        <f t="shared" si="0"/>
        <v>75547612.800000012</v>
      </c>
      <c r="G8" s="37">
        <f t="shared" si="1"/>
        <v>60299395.200000003</v>
      </c>
      <c r="H8" s="37">
        <f t="shared" si="2"/>
        <v>39439065.600000001</v>
      </c>
    </row>
    <row r="9" spans="1:9" x14ac:dyDescent="0.25">
      <c r="E9" s="92">
        <v>2</v>
      </c>
      <c r="F9" s="37">
        <f t="shared" si="0"/>
        <v>87745996.800000012</v>
      </c>
      <c r="G9" s="37">
        <f t="shared" si="1"/>
        <v>67415040</v>
      </c>
      <c r="H9" s="37">
        <f t="shared" si="2"/>
        <v>39601267.200000003</v>
      </c>
    </row>
    <row r="10" spans="1:9" x14ac:dyDescent="0.25">
      <c r="E10" s="92">
        <v>2.5</v>
      </c>
      <c r="F10" s="37">
        <f t="shared" si="0"/>
        <v>99944380.800000012</v>
      </c>
      <c r="G10" s="37">
        <f t="shared" si="1"/>
        <v>74530684.800000012</v>
      </c>
      <c r="H10" s="37">
        <f t="shared" si="2"/>
        <v>39763468.800000004</v>
      </c>
    </row>
    <row r="11" spans="1:9" x14ac:dyDescent="0.25">
      <c r="E11" s="92">
        <v>3</v>
      </c>
      <c r="F11" s="37">
        <f t="shared" si="0"/>
        <v>112142764.80000001</v>
      </c>
      <c r="G11" s="37">
        <f t="shared" si="1"/>
        <v>81646329.599999994</v>
      </c>
      <c r="H11" s="37">
        <f t="shared" si="2"/>
        <v>39925670.399999999</v>
      </c>
    </row>
    <row r="13" spans="1:9" x14ac:dyDescent="0.25">
      <c r="B13" s="110" t="s">
        <v>262</v>
      </c>
      <c r="E13" s="110" t="s">
        <v>263</v>
      </c>
      <c r="H13" s="111" t="s">
        <v>264</v>
      </c>
    </row>
    <row r="14" spans="1:9" x14ac:dyDescent="0.25">
      <c r="B14" s="22" t="s">
        <v>221</v>
      </c>
      <c r="C14" s="22" t="s">
        <v>223</v>
      </c>
      <c r="E14" s="22" t="s">
        <v>221</v>
      </c>
      <c r="F14" s="22" t="s">
        <v>223</v>
      </c>
      <c r="H14" s="22" t="s">
        <v>221</v>
      </c>
      <c r="I14" s="22" t="s">
        <v>223</v>
      </c>
    </row>
    <row r="15" spans="1:9" x14ac:dyDescent="0.25">
      <c r="B15" s="92">
        <v>-1</v>
      </c>
      <c r="C15" s="22">
        <v>2535610</v>
      </c>
      <c r="E15" s="92">
        <v>-1</v>
      </c>
      <c r="F15" s="22">
        <v>4306440</v>
      </c>
      <c r="H15" s="92">
        <v>-1</v>
      </c>
      <c r="I15" s="22">
        <v>6729030</v>
      </c>
    </row>
    <row r="16" spans="1:9" x14ac:dyDescent="0.25">
      <c r="B16" s="92">
        <v>-0.5</v>
      </c>
      <c r="C16" s="22">
        <v>4660570</v>
      </c>
      <c r="E16" s="92">
        <v>-0.5</v>
      </c>
      <c r="F16" s="22">
        <v>5545990</v>
      </c>
      <c r="H16" s="92">
        <v>-0.5</v>
      </c>
      <c r="I16" s="22">
        <v>6757280</v>
      </c>
    </row>
    <row r="17" spans="2:9" x14ac:dyDescent="0.25">
      <c r="B17" s="92">
        <v>0</v>
      </c>
      <c r="C17" s="22">
        <v>6785539.2000000002</v>
      </c>
      <c r="E17" s="92">
        <v>0</v>
      </c>
      <c r="F17" s="22">
        <v>6785539.2000000002</v>
      </c>
      <c r="H17" s="92">
        <v>0</v>
      </c>
      <c r="I17" s="22">
        <v>6785539.2000000002</v>
      </c>
    </row>
    <row r="18" spans="2:9" x14ac:dyDescent="0.25">
      <c r="B18" s="92">
        <v>0.5</v>
      </c>
      <c r="C18" s="22">
        <v>8910500</v>
      </c>
      <c r="E18" s="92">
        <v>0.5</v>
      </c>
      <c r="F18" s="22">
        <v>8025090</v>
      </c>
      <c r="H18" s="92">
        <v>0.5</v>
      </c>
      <c r="I18" s="22">
        <v>6813790</v>
      </c>
    </row>
    <row r="19" spans="2:9" x14ac:dyDescent="0.25">
      <c r="B19" s="92">
        <v>1</v>
      </c>
      <c r="C19" s="22">
        <v>11035500</v>
      </c>
      <c r="E19" s="92">
        <v>1</v>
      </c>
      <c r="F19" s="22">
        <v>9264640</v>
      </c>
      <c r="H19" s="92">
        <v>1</v>
      </c>
      <c r="I19" s="22">
        <v>6842050</v>
      </c>
    </row>
    <row r="20" spans="2:9" x14ac:dyDescent="0.25">
      <c r="B20" s="92">
        <v>1.5</v>
      </c>
      <c r="C20" s="22">
        <v>13160400</v>
      </c>
      <c r="E20" s="92">
        <v>1.5</v>
      </c>
      <c r="F20" s="22">
        <v>10504200</v>
      </c>
      <c r="H20" s="92">
        <v>1.5</v>
      </c>
      <c r="I20" s="22">
        <v>6870310</v>
      </c>
    </row>
    <row r="21" spans="2:9" x14ac:dyDescent="0.25">
      <c r="B21" s="92">
        <v>2</v>
      </c>
      <c r="C21" s="22">
        <v>15285400</v>
      </c>
      <c r="E21" s="92">
        <v>2</v>
      </c>
      <c r="F21" s="22">
        <v>11743700</v>
      </c>
      <c r="H21" s="92">
        <v>2</v>
      </c>
      <c r="I21" s="22">
        <v>6898560</v>
      </c>
    </row>
    <row r="22" spans="2:9" x14ac:dyDescent="0.25">
      <c r="B22" s="92">
        <v>2.5</v>
      </c>
      <c r="C22" s="22">
        <v>17410400</v>
      </c>
      <c r="E22" s="92">
        <v>2.5</v>
      </c>
      <c r="F22" s="22">
        <v>12983300</v>
      </c>
      <c r="H22" s="92">
        <v>2.5</v>
      </c>
      <c r="I22" s="22">
        <v>6926820</v>
      </c>
    </row>
    <row r="23" spans="2:9" x14ac:dyDescent="0.25">
      <c r="B23" s="92">
        <v>3</v>
      </c>
      <c r="C23" s="22">
        <v>19535300</v>
      </c>
      <c r="E23" s="92">
        <v>3</v>
      </c>
      <c r="F23" s="22">
        <v>14222800</v>
      </c>
      <c r="H23" s="92">
        <v>3</v>
      </c>
      <c r="I23" s="22">
        <v>6955070</v>
      </c>
    </row>
  </sheetData>
  <mergeCells count="1">
    <mergeCell ref="A6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Analisis Produksi</vt:lpstr>
      <vt:lpstr>Analisis Produk dan Harga</vt:lpstr>
      <vt:lpstr>link marketplace</vt:lpstr>
      <vt:lpstr>Peralatan, RM dan Utilitas</vt:lpstr>
      <vt:lpstr>TIC</vt:lpstr>
      <vt:lpstr>MC, GPM, ROI</vt:lpstr>
      <vt:lpstr>PI, BEP, BEC</vt:lpstr>
      <vt:lpstr>CNPV, PVP, IRR</vt:lpstr>
      <vt:lpstr>Variasi GPM(pack) RMS</vt:lpstr>
      <vt:lpstr>Variasi Nilai PI</vt:lpstr>
      <vt:lpstr>Variasi Pajak</vt:lpstr>
      <vt:lpstr>Variasi Variabel Cost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Fitria Alhusaeni</dc:creator>
  <cp:lastModifiedBy>user</cp:lastModifiedBy>
  <dcterms:created xsi:type="dcterms:W3CDTF">2021-06-27T02:20:31Z</dcterms:created>
  <dcterms:modified xsi:type="dcterms:W3CDTF">2022-12-26T18:10:21Z</dcterms:modified>
</cp:coreProperties>
</file>